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 - součet" sheetId="2" r:id="rId2"/>
    <sheet name="Stavební rozpočet" sheetId="3" r:id="rId3"/>
    <sheet name="Výkaz výměr" sheetId="4" r:id="rId4"/>
  </sheets>
  <definedNames>
    <definedName name="_xlnm.Print_Titles" localSheetId="2">'Stavební rozpočet'!$10:$11</definedName>
    <definedName name="_xlnm.Print_Titles" localSheetId="3">'Výkaz výměr'!$10:$10</definedName>
  </definedNames>
  <calcPr fullCalcOnLoad="1"/>
</workbook>
</file>

<file path=xl/sharedStrings.xml><?xml version="1.0" encoding="utf-8"?>
<sst xmlns="http://schemas.openxmlformats.org/spreadsheetml/2006/main" count="1344" uniqueCount="501">
  <si>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</si>
  <si>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</si>
  <si>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</si>
  <si>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</si>
  <si>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</si>
  <si>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</si>
  <si>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</si>
  <si>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</si>
  <si>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</si>
  <si>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</si>
  <si>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</si>
  <si>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</si>
  <si>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</si>
  <si>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</si>
  <si>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</si>
  <si>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</si>
  <si>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</si>
  <si>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</si>
  <si>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</si>
  <si>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</si>
  <si>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</si>
  <si>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</si>
  <si>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</si>
  <si>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</si>
  <si>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</si>
  <si>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</si>
  <si>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</si>
  <si>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</si>
  <si>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</si>
  <si>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</si>
  <si>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</si>
  <si>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</si>
  <si>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</si>
  <si>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</si>
  <si>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</si>
  <si>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</si>
  <si>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</si>
  <si>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</si>
  <si>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</si>
  <si>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</si>
  <si>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</si>
  <si>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</si>
  <si>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</si>
  <si>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</si>
  <si>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</si>
  <si>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</si>
  <si>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</si>
  <si>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</si>
  <si>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</si>
  <si>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</si>
  <si>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</si>
  <si>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</si>
  <si>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</si>
  <si>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</si>
  <si>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</si>
  <si>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</si>
  <si>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</si>
  <si>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</si>
  <si>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</si>
  <si>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</si>
  <si>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</si>
  <si>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</si>
  <si>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</si>
  <si>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</si>
  <si>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</si>
  <si>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</si>
  <si>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</si>
  <si>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</si>
  <si>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</si>
  <si>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</si>
  <si>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</si>
  <si>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</si>
  <si>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</si>
  <si>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</si>
  <si>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</si>
  <si>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</si>
  <si>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</si>
  <si>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</si>
  <si>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</si>
  <si>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</si>
  <si>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Poznámka:</t>
  </si>
  <si>
    <t>Všechny rozměry nutno prověřit na stavbě dle skutečných rozměrů. Přesný popis výrobků je v PD.</t>
  </si>
  <si>
    <t>Objekt</t>
  </si>
  <si>
    <t>Kód</t>
  </si>
  <si>
    <t>347015G01R00</t>
  </si>
  <si>
    <t>413941123RU2</t>
  </si>
  <si>
    <t>413941123RT2</t>
  </si>
  <si>
    <t>413941003R00</t>
  </si>
  <si>
    <t>622450G01V</t>
  </si>
  <si>
    <t>622420G01V</t>
  </si>
  <si>
    <t>624602G01R00</t>
  </si>
  <si>
    <t>641940095RAA</t>
  </si>
  <si>
    <t>61101G01VD</t>
  </si>
  <si>
    <t>712</t>
  </si>
  <si>
    <t>712300833RT2</t>
  </si>
  <si>
    <t>712311G01RZ1</t>
  </si>
  <si>
    <t>712341559RT1</t>
  </si>
  <si>
    <t>62852265</t>
  </si>
  <si>
    <t>712373111RS1</t>
  </si>
  <si>
    <t>283410G01VD</t>
  </si>
  <si>
    <t>712391172R00</t>
  </si>
  <si>
    <t>69366196</t>
  </si>
  <si>
    <t>712370G01VD</t>
  </si>
  <si>
    <t>713</t>
  </si>
  <si>
    <t>713100827R00</t>
  </si>
  <si>
    <t>713141151R00</t>
  </si>
  <si>
    <t>28375949</t>
  </si>
  <si>
    <t>28375948</t>
  </si>
  <si>
    <t>28376359</t>
  </si>
  <si>
    <t>283763600</t>
  </si>
  <si>
    <t>63141493</t>
  </si>
  <si>
    <t>762</t>
  </si>
  <si>
    <t>762441122R00</t>
  </si>
  <si>
    <t>762495000R00</t>
  </si>
  <si>
    <t>762441113R00</t>
  </si>
  <si>
    <t>61101G02VD</t>
  </si>
  <si>
    <t>764</t>
  </si>
  <si>
    <t>764900035RA0</t>
  </si>
  <si>
    <t>764900040RA0</t>
  </si>
  <si>
    <t>764900060RA0</t>
  </si>
  <si>
    <t>764352203R00</t>
  </si>
  <si>
    <t>764359212R00</t>
  </si>
  <si>
    <t>764391G03V</t>
  </si>
  <si>
    <t>764391220R00</t>
  </si>
  <si>
    <t>764391210R00</t>
  </si>
  <si>
    <t>764391G01R00</t>
  </si>
  <si>
    <t>764391G02R00</t>
  </si>
  <si>
    <t>764391G04R00</t>
  </si>
  <si>
    <t>764454010RAB</t>
  </si>
  <si>
    <t>767</t>
  </si>
  <si>
    <t>767900010RA0</t>
  </si>
  <si>
    <t>767900035RA0</t>
  </si>
  <si>
    <t>767316G01VD</t>
  </si>
  <si>
    <t>767137601R00</t>
  </si>
  <si>
    <t>783</t>
  </si>
  <si>
    <t>783151415R00</t>
  </si>
  <si>
    <t>783101821R00</t>
  </si>
  <si>
    <t>783522000R00</t>
  </si>
  <si>
    <t>94</t>
  </si>
  <si>
    <t>943943221R00</t>
  </si>
  <si>
    <t>943943821R00</t>
  </si>
  <si>
    <t>943943292R00</t>
  </si>
  <si>
    <t>95</t>
  </si>
  <si>
    <t>952901114R00</t>
  </si>
  <si>
    <t>952</t>
  </si>
  <si>
    <t>952901G02VD</t>
  </si>
  <si>
    <t>952901G01VD</t>
  </si>
  <si>
    <t>952901G03VD</t>
  </si>
  <si>
    <t>952901G04VD</t>
  </si>
  <si>
    <t>96</t>
  </si>
  <si>
    <t>962081141R00</t>
  </si>
  <si>
    <t>972054G01R00</t>
  </si>
  <si>
    <t>962032314R00</t>
  </si>
  <si>
    <t>H01</t>
  </si>
  <si>
    <t>998011001R00</t>
  </si>
  <si>
    <t>H712</t>
  </si>
  <si>
    <t>998712201R00</t>
  </si>
  <si>
    <t>H713</t>
  </si>
  <si>
    <t>998713201R00</t>
  </si>
  <si>
    <t>H762</t>
  </si>
  <si>
    <t>998762202R00</t>
  </si>
  <si>
    <t>H764</t>
  </si>
  <si>
    <t>998764201R00</t>
  </si>
  <si>
    <t>H767</t>
  </si>
  <si>
    <t>998767201R00</t>
  </si>
  <si>
    <t>S</t>
  </si>
  <si>
    <t>979082111R00</t>
  </si>
  <si>
    <t>979083117R00</t>
  </si>
  <si>
    <t>979012112R00</t>
  </si>
  <si>
    <t>979083191R00</t>
  </si>
  <si>
    <t>979000VD</t>
  </si>
  <si>
    <t>GYMNÁZIUM KOLÍN</t>
  </si>
  <si>
    <t>Oprava střechy gymnastického sálu</t>
  </si>
  <si>
    <t>Kolín, Žižkova 162</t>
  </si>
  <si>
    <t>Zkrácený popis / Varianta</t>
  </si>
  <si>
    <t>Rozměry</t>
  </si>
  <si>
    <t>Stěny a příčky</t>
  </si>
  <si>
    <t>Předsazený obklad - vnitřní povrch světlíku</t>
  </si>
  <si>
    <t xml:space="preserve"> Ocel. kce, 1x Vidiwall 12,5mm, min.vlna 80 mm, parotěs. zábrana.</t>
  </si>
  <si>
    <t>Stropy a stropní konstrukce (pro pozemní stavby)</t>
  </si>
  <si>
    <t>Osazení válcovaných nosníků ve stropech  U č. 14</t>
  </si>
  <si>
    <t xml:space="preserve"> V položkách je mimo vlastního osazení zakalkulována i dodávka ocelových válcovaných nosníků profilu U č.14 včetně ztratného ve výši 8%, které kryje náklady na prořez (zbytkový odpad) a náklady na řezání příslušných délek.</t>
  </si>
  <si>
    <t>Osazení válcovaných nosníků ve stropech I č. 14 -úpalky</t>
  </si>
  <si>
    <t>včetně dodávky profilu IPE č. 14</t>
  </si>
  <si>
    <t>Nosné svary stropní konstr. nosníků tl. do 14 mm</t>
  </si>
  <si>
    <t>Úprava povrchů vnější</t>
  </si>
  <si>
    <t>Vyrovnávací vrstva cem. tmelu pod oplechování</t>
  </si>
  <si>
    <t>Vyrovnávací vrstva včetně otlučení nerovností</t>
  </si>
  <si>
    <t>Oprava stávající omítky stěn vnější, včetně fasádního nátěru</t>
  </si>
  <si>
    <t>Tmelení spár - PUR tmel</t>
  </si>
  <si>
    <t>Výplně otvorů</t>
  </si>
  <si>
    <t>Montáž oken dřevěných, včetně úpravy ostění</t>
  </si>
  <si>
    <t>Montáž vnějšího  a vnitřního parapetu,vnitřní a vnější začištění, bez dodávky okna.</t>
  </si>
  <si>
    <t>Okno dřev.180/245 cm, 3 křídl. ozn.02 + vnitř. a vněj. parapet</t>
  </si>
  <si>
    <t>Izolace střech ( krytiny)</t>
  </si>
  <si>
    <t>Odstranění živičné krytiny střech do 10° 3vrstvé</t>
  </si>
  <si>
    <t>Adhezní a vyrovnávací vrstva</t>
  </si>
  <si>
    <t>1 x  včetně dodávky AO-SI</t>
  </si>
  <si>
    <t>Povlaková krytina střech natavitelným pásem</t>
  </si>
  <si>
    <t>1 vrstva - materiál ve specifikaci</t>
  </si>
  <si>
    <t>Pás modifikovaný asfalt SBS tl. 4 mm, ztr.14%</t>
  </si>
  <si>
    <t>Krytina střech do 10° fólie, mech. kotvení</t>
  </si>
  <si>
    <t>Fólie ve specifikaci,  Obsahuje položení a svaření fólie, dodávku  a připevnění kotvicích terčů pro izolaci tl. do 180 mm  a překrytí kotev, včetně všech potřebných doplňků.</t>
  </si>
  <si>
    <t>Hydroizolační fólie z měkčeného PVC tl. 1,5 mm</t>
  </si>
  <si>
    <t>Položení  ochran. geotextilie</t>
  </si>
  <si>
    <t>Geotextilie 150 g/m2 š. 200cm 100% PP</t>
  </si>
  <si>
    <t>Dodávka a montáž signalizačního přepadu</t>
  </si>
  <si>
    <t>TWC 40 BIT MINI s prodloužením, dodávka a montáž</t>
  </si>
  <si>
    <t>Izolace tepelné</t>
  </si>
  <si>
    <t>Odstr. tepelné izolace, Polsid lepený tl. 5 cm</t>
  </si>
  <si>
    <t>Izolace tepelná střech  1vrstvá - 2x (90 + 80 mm)</t>
  </si>
  <si>
    <t>Deska polystyrenová EPS 100  tl. 90 mm</t>
  </si>
  <si>
    <t>Deska  polystyrenová EPS 100  tl. 80 mm</t>
  </si>
  <si>
    <t>Deska Styrodur 2800 C  120 mm ( okap)</t>
  </si>
  <si>
    <t>Deska Styrodur 2800 C  150 mm ( ukončení střechy záv.lišta)</t>
  </si>
  <si>
    <t>Deska izol. kamenná vlna FKD N tl.100 mm (obruba světlíků)</t>
  </si>
  <si>
    <t>Konstrukce tesařské</t>
  </si>
  <si>
    <t>Montáž obložení  okrajů střechy, MFP desky 2vrst.</t>
  </si>
  <si>
    <t>Spojovací a ochranné prostředky</t>
  </si>
  <si>
    <t>Montáž obložení okrajů střechy MFP deskou 1vrst.</t>
  </si>
  <si>
    <t>Montáž z desek dřevoštěpkových. V položce nejsou zakalkulovány náklady náklady na dodávku desek. Tato dodávka se oceňuje ve specifikaci, ztratné  ve výši 8 %.</t>
  </si>
  <si>
    <t>Deska MFP tl. 22 mm</t>
  </si>
  <si>
    <t>Konstrukce klempířské</t>
  </si>
  <si>
    <t>Demontáž podokapních žlabů půlkruhových</t>
  </si>
  <si>
    <t>V položce není kalkulován poplatek za skládku pro vybouranou suť. Orientační hmotnost vybouraných konstrukcí je 0,005 t/m konstrukce.</t>
  </si>
  <si>
    <t>Demontáž odpadních trub</t>
  </si>
  <si>
    <t>V položce není kalkulován poplatek za skládku pro vybouranou suť. Orientační hmotnost vybouraných konstrukcí je 0,003 t/m konstrukce.</t>
  </si>
  <si>
    <t>Demontáž lemování zdí</t>
  </si>
  <si>
    <t>V položce není kalkulován poplatek za skládku pro vybouranou suť. Orientační hmotnost vybouraných konstrukcí je 0,002 t/m konstrukce.</t>
  </si>
  <si>
    <t>Demontáž oplechování okapu</t>
  </si>
  <si>
    <t>Demontáž oplechování zdiva atiky</t>
  </si>
  <si>
    <t>Žlaby z Pz plechu podokapní půlkruhové, rš 330 mm</t>
  </si>
  <si>
    <t>Položka je  včetně háků, čel, rohů, rovných hrdel a dilatací.</t>
  </si>
  <si>
    <t>Kotlík z Pz plechu kónický</t>
  </si>
  <si>
    <t>Závětrná lišta z poplast. plechu, rš 300 mm</t>
  </si>
  <si>
    <t>Krycí lišta z Pz plechu, rš 300 mm</t>
  </si>
  <si>
    <t>Krycí lišta z Pz plechu, rš 250 mm</t>
  </si>
  <si>
    <t>Okapnice z poplast. plechu, rš 250 mm</t>
  </si>
  <si>
    <t>Okapnice z Pz plechu, rš 150 mm</t>
  </si>
  <si>
    <t>Koutová lišta z poplast. plechu, rš 150 mm</t>
  </si>
  <si>
    <t>Odpadní trouby z Pz plechu kruhové</t>
  </si>
  <si>
    <t>průměru 100 mm, včetně kolen</t>
  </si>
  <si>
    <t>Konstrukce doplňkové stavební (zámečnické)</t>
  </si>
  <si>
    <t>Demontáž obložení stěn - lamela FEAL</t>
  </si>
  <si>
    <t>V položce není kalkulován poplatek za skládku pro vybouranou suť. Orientační hmotnost vybouraných konstrukcí je 0,015 t/m2 konstrukce.</t>
  </si>
  <si>
    <t>Demontáž ocelových světlíků, včetně zasklení</t>
  </si>
  <si>
    <t>V položce není kalkulován poplatek za skládku pro vybouranou suť. Orientační hmotnost vybouraných konstrukcí je 0,210 t/m2 konstrukce.</t>
  </si>
  <si>
    <t>Dodávka a montáž světlíků - popis dle TZ</t>
  </si>
  <si>
    <t>Kompletní dodávka a montáž světlíků. Světlík 3 ks, větr. křídla 6 ks, nezatepl. manžety 3 ks, detektor vítr, déšť.</t>
  </si>
  <si>
    <t>Zhotovení otvoru v ocelovém profilu pro chrlič</t>
  </si>
  <si>
    <t>Zhotovení otvoru v ocelovém plechu pro úpalky</t>
  </si>
  <si>
    <t>Nátěry</t>
  </si>
  <si>
    <t>Nátěr epoxid. OK přesahu střechy a nových konstr. 1x + 2x email</t>
  </si>
  <si>
    <t>Odstranění nátěrů z ocel. konstrukcí</t>
  </si>
  <si>
    <t>Nátěr syntet. klempířských konstrukcí, Z + 2 x</t>
  </si>
  <si>
    <t>Pro nátěr čerstvého i zoxidovaného pozinkovaného plechu : - 1 x základ barva syntetická na kov,  - 2 x email syntetický na kov</t>
  </si>
  <si>
    <t>Lešení a stavební výtahy</t>
  </si>
  <si>
    <t>Montáž lešení prostorové lehké, do 200kg, H 10 m</t>
  </si>
  <si>
    <t>Demontáž lešení, prostor. lehké, 200 kPa, H 10 m</t>
  </si>
  <si>
    <t>Příplatek za každý měsíc použití k pol..3221, 3222</t>
  </si>
  <si>
    <t>Různé dokončovací  práce</t>
  </si>
  <si>
    <t>Vyčištění budov o výšce podlaží nad 4 m</t>
  </si>
  <si>
    <t>Položka je určena pro vyčištění budov bytové nebo občanské výstavby - zametení a umytí podlah, dlažeb, obkladů, schodů v místnostech, chodbách a schodištích, vyčištění a umytí oken, dveří s rámy, zárubněmi, umytí a vyčistění jiných zasklených a natíraných ploch a zařizovacích předmětů před předáním do užívání.</t>
  </si>
  <si>
    <t>Přípravné práce</t>
  </si>
  <si>
    <t>Vystěhování sportovního náčiní mimo prostor místnosti 1.01</t>
  </si>
  <si>
    <t>Ochrana podlahové konstrukce, montáž a demontáž</t>
  </si>
  <si>
    <t>Ochranná plachta, lepená fólie, geotextilie - dle TZ</t>
  </si>
  <si>
    <t>Montáž a demontáž prostorových rámů pro zakrytí střeš. světlíků</t>
  </si>
  <si>
    <t>Dle TZ</t>
  </si>
  <si>
    <t>Montáž a demonáž plachty pro dočasné zakrytí plochy střechy</t>
  </si>
  <si>
    <t>Bourání konstrukcí</t>
  </si>
  <si>
    <t>Bourání výplní ze skleněných tvárnic tl. 15 cm</t>
  </si>
  <si>
    <t>Vybourání otvoru v perlitbetonu</t>
  </si>
  <si>
    <t>Bourání atik cihelných</t>
  </si>
  <si>
    <t>V položce není kalkulována manipulace se sutí.</t>
  </si>
  <si>
    <t>Přesun hmot HSV</t>
  </si>
  <si>
    <t>Přesun hmot pro budovy zděné výšky do 6 m</t>
  </si>
  <si>
    <t>Přesun hmot pro povlakové krytiny, výšky do 6 m</t>
  </si>
  <si>
    <t>Přesun hmot pro izolace tepelné, výšky do 6 m</t>
  </si>
  <si>
    <t>Přesun hmot pro tesařské konstrukce, výšky do 6 m</t>
  </si>
  <si>
    <t>Přesun hmot pro klempířské konstr., výšky do 6 m</t>
  </si>
  <si>
    <t>Přesun hmot pro zámečnické konstr., výšky do 6 m</t>
  </si>
  <si>
    <t>Přesuny sutí</t>
  </si>
  <si>
    <t>Vnitrostaveništní doprava suti do 10 m</t>
  </si>
  <si>
    <t>Vodorovné přemístění suti na skládku do 6000 m</t>
  </si>
  <si>
    <t>V položce jsou zakalkulovány i náklady na naložení suti na dopravní prostředek a složení.</t>
  </si>
  <si>
    <t>Svislá doprava suti</t>
  </si>
  <si>
    <t>Příplatek za dalších započatých 1000 m nad 6000 m</t>
  </si>
  <si>
    <t>10x příplatek - skládka Radim</t>
  </si>
  <si>
    <t>Poplatek za skládku Radim - netříděný odpad</t>
  </si>
  <si>
    <t>Doba výstavby:</t>
  </si>
  <si>
    <t>Začátek výstavby:</t>
  </si>
  <si>
    <t>Konec výstavby:</t>
  </si>
  <si>
    <t>Zpracováno dne:</t>
  </si>
  <si>
    <t>M.j.</t>
  </si>
  <si>
    <t>m2</t>
  </si>
  <si>
    <t>t</t>
  </si>
  <si>
    <t>m</t>
  </si>
  <si>
    <t>kus</t>
  </si>
  <si>
    <t>Celek</t>
  </si>
  <si>
    <t>m3</t>
  </si>
  <si>
    <t>%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</si>
  <si>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</si>
  <si>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</si>
  <si>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</si>
  <si>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</si>
  <si>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</si>
  <si>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</si>
  <si>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</si>
  <si>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</si>
  <si>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</si>
  <si>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</si>
  <si>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</si>
  <si>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Kolín, Karlovo náměstí 78, Kolín</t>
  </si>
  <si>
    <t>Ing. M. Outlý, O-pro servis, Karlovo náměstí 75, K</t>
  </si>
  <si>
    <t>Ing. Jan Forejt</t>
  </si>
  <si>
    <t>Celkem</t>
  </si>
  <si>
    <t>Hmotnost (t)</t>
  </si>
  <si>
    <t>0</t>
  </si>
  <si>
    <t>Přesuny</t>
  </si>
  <si>
    <t>Typ skupiny</t>
  </si>
  <si>
    <t>HS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</si>
  <si>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</si>
  <si>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</si>
  <si>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</si>
  <si>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</si>
  <si>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</si>
  <si>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</si>
  <si>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</si>
  <si>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</si>
  <si>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</si>
  <si>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41_</t>
  </si>
  <si>
    <t>62_</t>
  </si>
  <si>
    <t>64_</t>
  </si>
  <si>
    <t>712_</t>
  </si>
  <si>
    <t>713_</t>
  </si>
  <si>
    <t>762_</t>
  </si>
  <si>
    <t>764_</t>
  </si>
  <si>
    <t>767_</t>
  </si>
  <si>
    <t>783_</t>
  </si>
  <si>
    <t>94_</t>
  </si>
  <si>
    <t>95_</t>
  </si>
  <si>
    <t>952_</t>
  </si>
  <si>
    <t>96_</t>
  </si>
  <si>
    <t>H01_</t>
  </si>
  <si>
    <t>H712_</t>
  </si>
  <si>
    <t>H713_</t>
  </si>
  <si>
    <t>H762_</t>
  </si>
  <si>
    <t>H764_</t>
  </si>
  <si>
    <t>H767_</t>
  </si>
  <si>
    <t>S_</t>
  </si>
  <si>
    <t>3_</t>
  </si>
  <si>
    <t>4_</t>
  </si>
  <si>
    <t>6_</t>
  </si>
  <si>
    <t>71_</t>
  </si>
  <si>
    <t>76_</t>
  </si>
  <si>
    <t>78_</t>
  </si>
  <si>
    <t>9_</t>
  </si>
  <si>
    <t>_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</si>
  <si>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</si>
  <si>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</si>
  <si>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</si>
  <si>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</si>
  <si>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</si>
  <si>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</si>
  <si>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</si>
  <si>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</si>
  <si>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0,91*(11,6+3)*3</t>
  </si>
  <si>
    <t>10*9,1*0,014</t>
  </si>
  <si>
    <t>6*1,66*0,014</t>
  </si>
  <si>
    <t>90*0,11*0,013</t>
  </si>
  <si>
    <t>10*9*0,44</t>
  </si>
  <si>
    <t>24*0,14</t>
  </si>
  <si>
    <t>0,5*(9,8+19,8)</t>
  </si>
  <si>
    <t>19,8+9,8</t>
  </si>
  <si>
    <t>11*0,15</t>
  </si>
  <si>
    <t>157,67</t>
  </si>
  <si>
    <t>0,5*(12,2+3,6)*3</t>
  </si>
  <si>
    <t>0,2*(19,45+9,8)</t>
  </si>
  <si>
    <t>19,8*9,8</t>
  </si>
  <si>
    <t>-1,9*6,2*3</t>
  </si>
  <si>
    <t>0,5*3*(12,4+3,8)</t>
  </si>
  <si>
    <t>197,8</t>
  </si>
  <si>
    <t>;ztratné 14%; 27,692</t>
  </si>
  <si>
    <t>9,8*19,8</t>
  </si>
  <si>
    <t>-6,2*1,9*3</t>
  </si>
  <si>
    <t>0,2*(19,8+9,8)</t>
  </si>
  <si>
    <t>0,4*3*(12,4+3,8)</t>
  </si>
  <si>
    <t>184,06</t>
  </si>
  <si>
    <t>;ztratné 8%; 14,7248</t>
  </si>
  <si>
    <t>9,8*19,45</t>
  </si>
  <si>
    <t>-(6,1*1,8)*3</t>
  </si>
  <si>
    <t>(9,4*19,55)*2</t>
  </si>
  <si>
    <t>-(1,9*6,2)*3</t>
  </si>
  <si>
    <t>0,35*(12,4+3,8)*3</t>
  </si>
  <si>
    <t>19,8*0,4</t>
  </si>
  <si>
    <t>9,4*0,25</t>
  </si>
  <si>
    <t>9,4*19,55</t>
  </si>
  <si>
    <t>;ztratné 2%; 2,9686</t>
  </si>
  <si>
    <t>183,77-35,34</t>
  </si>
  <si>
    <t>;ztratné 8%; 0,6336</t>
  </si>
  <si>
    <t>0,25*9,4</t>
  </si>
  <si>
    <t>;ztratné 8%; 0,188</t>
  </si>
  <si>
    <t>0,35*(3,8+12,4)*3</t>
  </si>
  <si>
    <t>;ztratné 8%; 1,3608</t>
  </si>
  <si>
    <t>0,4*19,8</t>
  </si>
  <si>
    <t>7,92+2,45</t>
  </si>
  <si>
    <t>0,25*9,8</t>
  </si>
  <si>
    <t>7,92*2</t>
  </si>
  <si>
    <t>2,45</t>
  </si>
  <si>
    <t>;ztratné 8%; 1,4632</t>
  </si>
  <si>
    <t>19,8+1,2</t>
  </si>
  <si>
    <t>(3,6+12,2)*3</t>
  </si>
  <si>
    <t>9,8+9,65+19,45</t>
  </si>
  <si>
    <t>19,8</t>
  </si>
  <si>
    <t>9,65</t>
  </si>
  <si>
    <t>9,9</t>
  </si>
  <si>
    <t>19,9</t>
  </si>
  <si>
    <t>(9,8+19,8)*2</t>
  </si>
  <si>
    <t>1*(5,8+5,8+1,5+1,5)*3</t>
  </si>
  <si>
    <t>6,1*1,4*6</t>
  </si>
  <si>
    <t>2*1*3</t>
  </si>
  <si>
    <t>9*10</t>
  </si>
  <si>
    <t>0,4*19,8*1,5</t>
  </si>
  <si>
    <t>10*9,1*0,56</t>
  </si>
  <si>
    <t>6*1,66*0,56</t>
  </si>
  <si>
    <t>9*10*0,1*0,68</t>
  </si>
  <si>
    <t>11,88</t>
  </si>
  <si>
    <t>21*0,33*2</t>
  </si>
  <si>
    <t>0,3*9,9*2</t>
  </si>
  <si>
    <t>0,25*19,9*2</t>
  </si>
  <si>
    <t>0,15*9,9*2</t>
  </si>
  <si>
    <t>3,14*0,1*2</t>
  </si>
  <si>
    <t>3*(6*2*4)</t>
  </si>
  <si>
    <t>144</t>
  </si>
  <si>
    <t>30,8+138,15</t>
  </si>
  <si>
    <t>1,8*2,45</t>
  </si>
  <si>
    <t>0,35*0,3*9,65</t>
  </si>
  <si>
    <t>0,5468+1,7313+1,6313+0,469+1,075</t>
  </si>
  <si>
    <t>1975,03</t>
  </si>
  <si>
    <t>731,21</t>
  </si>
  <si>
    <t>52,26</t>
  </si>
  <si>
    <t>379,8</t>
  </si>
  <si>
    <t>2526,85</t>
  </si>
  <si>
    <t>19,96</t>
  </si>
  <si>
    <t>0,21*57,24</t>
  </si>
  <si>
    <t>0,015*43,8</t>
  </si>
  <si>
    <t>2,1952+2,6211+1,7659</t>
  </si>
  <si>
    <t>0,002*86,3</t>
  </si>
  <si>
    <t>0,005*21</t>
  </si>
  <si>
    <t>0,002*9,65</t>
  </si>
  <si>
    <t>0,002*19,8</t>
  </si>
  <si>
    <t>0,36</t>
  </si>
  <si>
    <t>19,96-2,1952</t>
  </si>
  <si>
    <t>19,96*10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</si>
  <si>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</si>
  <si>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</si>
  <si>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</si>
  <si>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</si>
  <si>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</si>
  <si>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</si>
  <si>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</si>
  <si>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</si>
  <si>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</si>
  <si>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</si>
  <si>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</si>
  <si>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</si>
  <si>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</si>
  <si>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</si>
  <si>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</si>
  <si>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</si>
  <si>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</si>
  <si>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</si>
  <si>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</si>
  <si>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</si>
  <si>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</si>
  <si>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</si>
  <si>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</si>
  <si>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</si>
  <si>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</si>
  <si>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</si>
  <si>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</si>
  <si>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</si>
  <si>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</si>
  <si>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</si>
  <si>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</si>
  <si>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</si>
  <si>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</si>
  <si>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</si>
  <si>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</si>
  <si>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</si>
  <si>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</si>
  <si>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</si>
  <si>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</si>
  <si>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</si>
  <si>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</si>
  <si>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</si>
  <si>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</si>
  <si>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</si>
  <si>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00235440/</t>
  </si>
  <si>
    <t>11422131/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</si>
</sst>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1" fillId="34" borderId="27" xfId="0" applyNumberFormat="1" applyFont="1" applyFill="1" applyBorder="1" applyAlignment="1" applyProtection="1">
      <alignment horizontal="center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3" fillId="0" borderId="27" xfId="0" applyNumberFormat="1" applyFont="1" applyFill="1" applyBorder="1" applyAlignment="1" applyProtection="1">
      <alignment horizontal="right" vertical="center"/>
      <protection/>
    </xf>
    <xf numFmtId="49" fontId="13" fillId="0" borderId="27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2" fillId="34" borderId="36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0" fontId="14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49" fontId="12" fillId="0" borderId="35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49" fontId="12" fillId="34" borderId="35" xfId="0" applyNumberFormat="1" applyFont="1" applyFill="1" applyBorder="1" applyAlignment="1" applyProtection="1">
      <alignment horizontal="left" vertical="center"/>
      <protection/>
    </xf>
    <xf numFmtId="0" fontId="12" fillId="34" borderId="39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45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K19" sqref="K1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6"/>
      <c r="B1" s="50"/>
      <c r="C1" s="67" t="s">
        <v>470</v>
      </c>
      <c r="D1" s="68"/>
      <c r="E1" s="68"/>
      <c r="F1" s="68"/>
      <c r="G1" s="68"/>
      <c r="H1" s="68"/>
      <c r="I1" s="68"/>
    </row>
    <row r="2" spans="1:10" ht="12.75">
      <c r="A2" s="69" t="s">
        <v>1</v>
      </c>
      <c r="B2" s="70"/>
      <c r="C2" s="73" t="s">
        <v>171</v>
      </c>
      <c r="D2" s="74"/>
      <c r="E2" s="76" t="s">
        <v>308</v>
      </c>
      <c r="F2" s="76" t="s">
        <v>313</v>
      </c>
      <c r="G2" s="70"/>
      <c r="H2" s="76" t="s">
        <v>495</v>
      </c>
      <c r="I2" s="77" t="s">
        <v>499</v>
      </c>
      <c r="J2" s="30"/>
    </row>
    <row r="3" spans="1:10" ht="12.75">
      <c r="A3" s="71"/>
      <c r="B3" s="72"/>
      <c r="C3" s="75"/>
      <c r="D3" s="75"/>
      <c r="E3" s="72"/>
      <c r="F3" s="72"/>
      <c r="G3" s="72"/>
      <c r="H3" s="72"/>
      <c r="I3" s="78"/>
      <c r="J3" s="30"/>
    </row>
    <row r="4" spans="1:10" ht="12.75">
      <c r="A4" s="79" t="s">
        <v>2</v>
      </c>
      <c r="B4" s="72"/>
      <c r="C4" s="80" t="s">
        <v>172</v>
      </c>
      <c r="D4" s="72"/>
      <c r="E4" s="80" t="s">
        <v>309</v>
      </c>
      <c r="F4" s="80" t="s">
        <v>314</v>
      </c>
      <c r="G4" s="72"/>
      <c r="H4" s="80" t="s">
        <v>495</v>
      </c>
      <c r="I4" s="81" t="s">
        <v>500</v>
      </c>
      <c r="J4" s="30"/>
    </row>
    <row r="5" spans="1:10" ht="12.75">
      <c r="A5" s="71"/>
      <c r="B5" s="72"/>
      <c r="C5" s="72"/>
      <c r="D5" s="72"/>
      <c r="E5" s="72"/>
      <c r="F5" s="72"/>
      <c r="G5" s="72"/>
      <c r="H5" s="72"/>
      <c r="I5" s="78"/>
      <c r="J5" s="30"/>
    </row>
    <row r="6" spans="1:10" ht="12.75">
      <c r="A6" s="79" t="s">
        <v>3</v>
      </c>
      <c r="B6" s="72"/>
      <c r="C6" s="80" t="s">
        <v>173</v>
      </c>
      <c r="D6" s="72"/>
      <c r="E6" s="80" t="s">
        <v>310</v>
      </c>
      <c r="F6" s="80"/>
      <c r="G6" s="72"/>
      <c r="H6" s="80" t="s">
        <v>495</v>
      </c>
      <c r="I6" s="81"/>
      <c r="J6" s="30"/>
    </row>
    <row r="7" spans="1:10" ht="12.75">
      <c r="A7" s="71"/>
      <c r="B7" s="72"/>
      <c r="C7" s="72"/>
      <c r="D7" s="72"/>
      <c r="E7" s="72"/>
      <c r="F7" s="72"/>
      <c r="G7" s="72"/>
      <c r="H7" s="72"/>
      <c r="I7" s="78"/>
      <c r="J7" s="30"/>
    </row>
    <row r="8" spans="1:10" ht="12.75">
      <c r="A8" s="79" t="s">
        <v>291</v>
      </c>
      <c r="B8" s="72"/>
      <c r="C8" s="82">
        <v>42574</v>
      </c>
      <c r="D8" s="72"/>
      <c r="E8" s="80" t="s">
        <v>292</v>
      </c>
      <c r="F8" s="72"/>
      <c r="G8" s="72"/>
      <c r="H8" s="83" t="s">
        <v>496</v>
      </c>
      <c r="I8" s="81" t="s">
        <v>79</v>
      </c>
      <c r="J8" s="30"/>
    </row>
    <row r="9" spans="1:10" ht="12.75">
      <c r="A9" s="71"/>
      <c r="B9" s="72"/>
      <c r="C9" s="72"/>
      <c r="D9" s="72"/>
      <c r="E9" s="72"/>
      <c r="F9" s="72"/>
      <c r="G9" s="72"/>
      <c r="H9" s="72"/>
      <c r="I9" s="78"/>
      <c r="J9" s="30"/>
    </row>
    <row r="10" spans="1:10" ht="12.75">
      <c r="A10" s="79" t="s">
        <v>4</v>
      </c>
      <c r="B10" s="72"/>
      <c r="C10" s="80">
        <v>801</v>
      </c>
      <c r="D10" s="72"/>
      <c r="E10" s="80" t="s">
        <v>311</v>
      </c>
      <c r="F10" s="80" t="s">
        <v>315</v>
      </c>
      <c r="G10" s="72"/>
      <c r="H10" s="83" t="s">
        <v>497</v>
      </c>
      <c r="I10" s="86">
        <v>42574</v>
      </c>
      <c r="J10" s="30"/>
    </row>
    <row r="11" spans="1:10" ht="12.75">
      <c r="A11" s="84"/>
      <c r="B11" s="85"/>
      <c r="C11" s="85"/>
      <c r="D11" s="85"/>
      <c r="E11" s="85"/>
      <c r="F11" s="85"/>
      <c r="G11" s="85"/>
      <c r="H11" s="85"/>
      <c r="I11" s="87"/>
      <c r="J11" s="30"/>
    </row>
    <row r="12" spans="1:9" ht="23.25" customHeight="1">
      <c r="A12" s="88" t="s">
        <v>455</v>
      </c>
      <c r="B12" s="89"/>
      <c r="C12" s="89"/>
      <c r="D12" s="89"/>
      <c r="E12" s="89"/>
      <c r="F12" s="89"/>
      <c r="G12" s="89"/>
      <c r="H12" s="89"/>
      <c r="I12" s="89"/>
    </row>
    <row r="13" spans="1:10" ht="26.25" customHeight="1">
      <c r="A13" s="51" t="s">
        <v>456</v>
      </c>
      <c r="B13" s="90" t="s">
        <v>468</v>
      </c>
      <c r="C13" s="91"/>
      <c r="D13" s="51" t="s">
        <v>471</v>
      </c>
      <c r="E13" s="90" t="s">
        <v>480</v>
      </c>
      <c r="F13" s="91"/>
      <c r="G13" s="51" t="s">
        <v>481</v>
      </c>
      <c r="H13" s="90" t="s">
        <v>498</v>
      </c>
      <c r="I13" s="91"/>
      <c r="J13" s="30"/>
    </row>
    <row r="14" spans="1:10" ht="15" customHeight="1">
      <c r="A14" s="52" t="s">
        <v>457</v>
      </c>
      <c r="B14" s="56" t="s">
        <v>469</v>
      </c>
      <c r="C14" s="59">
        <f>SUM('Stavební rozpočet'!Q12:Q132)</f>
        <v>0</v>
      </c>
      <c r="D14" s="92" t="s">
        <v>472</v>
      </c>
      <c r="E14" s="93"/>
      <c r="F14" s="59">
        <v>0</v>
      </c>
      <c r="G14" s="92" t="s">
        <v>482</v>
      </c>
      <c r="H14" s="93"/>
      <c r="I14" s="59">
        <v>0</v>
      </c>
      <c r="J14" s="30"/>
    </row>
    <row r="15" spans="1:10" ht="15" customHeight="1">
      <c r="A15" s="53"/>
      <c r="B15" s="56" t="s">
        <v>312</v>
      </c>
      <c r="C15" s="59">
        <f>SUM('Stavební rozpočet'!R12:R132)</f>
        <v>0</v>
      </c>
      <c r="D15" s="92" t="s">
        <v>473</v>
      </c>
      <c r="E15" s="93"/>
      <c r="F15" s="59">
        <v>0</v>
      </c>
      <c r="G15" s="92" t="s">
        <v>483</v>
      </c>
      <c r="H15" s="93"/>
      <c r="I15" s="59">
        <v>0</v>
      </c>
      <c r="J15" s="30"/>
    </row>
    <row r="16" spans="1:10" ht="15" customHeight="1">
      <c r="A16" s="52" t="s">
        <v>458</v>
      </c>
      <c r="B16" s="56" t="s">
        <v>469</v>
      </c>
      <c r="C16" s="59">
        <f>SUM('Stavební rozpočet'!S12:S132)</f>
        <v>0</v>
      </c>
      <c r="D16" s="92" t="s">
        <v>474</v>
      </c>
      <c r="E16" s="93"/>
      <c r="F16" s="59">
        <v>0</v>
      </c>
      <c r="G16" s="92" t="s">
        <v>484</v>
      </c>
      <c r="H16" s="93"/>
      <c r="I16" s="59">
        <v>0</v>
      </c>
      <c r="J16" s="30"/>
    </row>
    <row r="17" spans="1:10" ht="15" customHeight="1">
      <c r="A17" s="53"/>
      <c r="B17" s="56" t="s">
        <v>312</v>
      </c>
      <c r="C17" s="59">
        <f>SUM('Stavební rozpočet'!T12:T132)</f>
        <v>0</v>
      </c>
      <c r="D17" s="92"/>
      <c r="E17" s="93"/>
      <c r="F17" s="60"/>
      <c r="G17" s="92" t="s">
        <v>485</v>
      </c>
      <c r="H17" s="93"/>
      <c r="I17" s="59">
        <v>0</v>
      </c>
      <c r="J17" s="30"/>
    </row>
    <row r="18" spans="1:10" ht="15" customHeight="1">
      <c r="A18" s="52" t="s">
        <v>459</v>
      </c>
      <c r="B18" s="56" t="s">
        <v>469</v>
      </c>
      <c r="C18" s="59">
        <f>SUM('Stavební rozpočet'!U12:U132)</f>
        <v>0</v>
      </c>
      <c r="D18" s="92"/>
      <c r="E18" s="93"/>
      <c r="F18" s="60"/>
      <c r="G18" s="92" t="s">
        <v>486</v>
      </c>
      <c r="H18" s="93"/>
      <c r="I18" s="59">
        <v>0</v>
      </c>
      <c r="J18" s="30"/>
    </row>
    <row r="19" spans="1:10" ht="15" customHeight="1">
      <c r="A19" s="53"/>
      <c r="B19" s="56" t="s">
        <v>312</v>
      </c>
      <c r="C19" s="59">
        <f>SUM('Stavební rozpočet'!V12:V132)</f>
        <v>0</v>
      </c>
      <c r="D19" s="92"/>
      <c r="E19" s="93"/>
      <c r="F19" s="60"/>
      <c r="G19" s="92" t="s">
        <v>487</v>
      </c>
      <c r="H19" s="93"/>
      <c r="I19" s="59">
        <v>0</v>
      </c>
      <c r="J19" s="30"/>
    </row>
    <row r="20" spans="1:10" ht="15" customHeight="1">
      <c r="A20" s="94" t="s">
        <v>460</v>
      </c>
      <c r="B20" s="95"/>
      <c r="C20" s="59">
        <f>SUM('Stavební rozpočet'!W12:W132)</f>
        <v>0</v>
      </c>
      <c r="D20" s="92"/>
      <c r="E20" s="93"/>
      <c r="F20" s="60"/>
      <c r="G20" s="92"/>
      <c r="H20" s="93"/>
      <c r="I20" s="60"/>
      <c r="J20" s="30"/>
    </row>
    <row r="21" spans="1:10" ht="15" customHeight="1">
      <c r="A21" s="94" t="s">
        <v>461</v>
      </c>
      <c r="B21" s="95"/>
      <c r="C21" s="59">
        <f>SUM('Stavební rozpočet'!O12:O132)</f>
        <v>0</v>
      </c>
      <c r="D21" s="92"/>
      <c r="E21" s="93"/>
      <c r="F21" s="60"/>
      <c r="G21" s="92"/>
      <c r="H21" s="93"/>
      <c r="I21" s="60"/>
      <c r="J21" s="30"/>
    </row>
    <row r="22" spans="1:10" ht="16.5" customHeight="1">
      <c r="A22" s="94" t="s">
        <v>462</v>
      </c>
      <c r="B22" s="95"/>
      <c r="C22" s="59">
        <f>SUM(C14:C21)</f>
        <v>0</v>
      </c>
      <c r="D22" s="94" t="s">
        <v>475</v>
      </c>
      <c r="E22" s="95"/>
      <c r="F22" s="59">
        <f>SUM(F14:F21)</f>
        <v>0</v>
      </c>
      <c r="G22" s="94" t="s">
        <v>488</v>
      </c>
      <c r="H22" s="95"/>
      <c r="I22" s="59">
        <f>SUM(I14:I21)</f>
        <v>0</v>
      </c>
      <c r="J22" s="30"/>
    </row>
    <row r="23" spans="1:10" ht="15" customHeight="1">
      <c r="A23" s="8"/>
      <c r="B23" s="8"/>
      <c r="C23" s="57"/>
      <c r="D23" s="94" t="s">
        <v>476</v>
      </c>
      <c r="E23" s="95"/>
      <c r="F23" s="61">
        <v>0</v>
      </c>
      <c r="G23" s="94" t="s">
        <v>489</v>
      </c>
      <c r="H23" s="95"/>
      <c r="I23" s="59">
        <v>0</v>
      </c>
      <c r="J23" s="30"/>
    </row>
    <row r="24" spans="4:9" ht="15" customHeight="1">
      <c r="D24" s="8"/>
      <c r="E24" s="8"/>
      <c r="F24" s="62"/>
      <c r="G24" s="94" t="s">
        <v>490</v>
      </c>
      <c r="H24" s="95"/>
      <c r="I24" s="64"/>
    </row>
    <row r="25" spans="6:10" ht="15" customHeight="1">
      <c r="F25" s="63"/>
      <c r="G25" s="94" t="s">
        <v>491</v>
      </c>
      <c r="H25" s="95"/>
      <c r="I25" s="59">
        <v>0</v>
      </c>
      <c r="J25" s="30"/>
    </row>
    <row r="26" spans="1:9" ht="12.75">
      <c r="A26" s="50"/>
      <c r="B26" s="50"/>
      <c r="C26" s="50"/>
      <c r="G26" s="8"/>
      <c r="H26" s="8"/>
      <c r="I26" s="8"/>
    </row>
    <row r="27" spans="1:9" ht="15" customHeight="1">
      <c r="A27" s="96" t="s">
        <v>463</v>
      </c>
      <c r="B27" s="97"/>
      <c r="C27" s="65">
        <f>SUM('Stavební rozpočet'!Y12:Y132)</f>
        <v>0</v>
      </c>
      <c r="D27" s="58"/>
      <c r="E27" s="50"/>
      <c r="F27" s="50"/>
      <c r="G27" s="50"/>
      <c r="H27" s="50"/>
      <c r="I27" s="50"/>
    </row>
    <row r="28" spans="1:10" ht="15" customHeight="1">
      <c r="A28" s="96" t="s">
        <v>464</v>
      </c>
      <c r="B28" s="97"/>
      <c r="C28" s="65">
        <f>SUM('Stavební rozpočet'!Z12:Z132)</f>
        <v>0</v>
      </c>
      <c r="D28" s="96" t="s">
        <v>477</v>
      </c>
      <c r="E28" s="97"/>
      <c r="F28" s="65">
        <f>ROUND(C28*(15/100),2)</f>
        <v>0</v>
      </c>
      <c r="G28" s="96" t="s">
        <v>492</v>
      </c>
      <c r="H28" s="97"/>
      <c r="I28" s="65">
        <f>SUM(C27:C29)</f>
        <v>0</v>
      </c>
      <c r="J28" s="30"/>
    </row>
    <row r="29" spans="1:10" ht="15" customHeight="1">
      <c r="A29" s="96" t="s">
        <v>465</v>
      </c>
      <c r="B29" s="97"/>
      <c r="C29" s="65">
        <f>SUM('Stavební rozpočet'!AA12:AA132)+(F22+I22+F23+I23+I24+I25)</f>
        <v>0</v>
      </c>
      <c r="D29" s="96" t="s">
        <v>478</v>
      </c>
      <c r="E29" s="97"/>
      <c r="F29" s="65">
        <f>ROUND(C29*(21/100),2)</f>
        <v>0</v>
      </c>
      <c r="G29" s="96" t="s">
        <v>493</v>
      </c>
      <c r="H29" s="97"/>
      <c r="I29" s="65">
        <f>SUM(F28:F29)+I28</f>
        <v>0</v>
      </c>
      <c r="J29" s="30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25" customHeight="1">
      <c r="A31" s="98" t="s">
        <v>466</v>
      </c>
      <c r="B31" s="99"/>
      <c r="C31" s="100"/>
      <c r="D31" s="98" t="s">
        <v>479</v>
      </c>
      <c r="E31" s="99"/>
      <c r="F31" s="100"/>
      <c r="G31" s="98" t="s">
        <v>494</v>
      </c>
      <c r="H31" s="99"/>
      <c r="I31" s="100"/>
      <c r="J31" s="31"/>
    </row>
    <row r="32" spans="1:10" ht="14.25" customHeight="1">
      <c r="A32" s="101"/>
      <c r="B32" s="102"/>
      <c r="C32" s="103"/>
      <c r="D32" s="101"/>
      <c r="E32" s="102"/>
      <c r="F32" s="103"/>
      <c r="G32" s="101"/>
      <c r="H32" s="102"/>
      <c r="I32" s="103"/>
      <c r="J32" s="31"/>
    </row>
    <row r="33" spans="1:10" ht="14.25" customHeight="1">
      <c r="A33" s="101"/>
      <c r="B33" s="102"/>
      <c r="C33" s="103"/>
      <c r="D33" s="101"/>
      <c r="E33" s="102"/>
      <c r="F33" s="103"/>
      <c r="G33" s="101"/>
      <c r="H33" s="102"/>
      <c r="I33" s="103"/>
      <c r="J33" s="31"/>
    </row>
    <row r="34" spans="1:10" ht="14.25" customHeight="1">
      <c r="A34" s="101"/>
      <c r="B34" s="102"/>
      <c r="C34" s="103"/>
      <c r="D34" s="101"/>
      <c r="E34" s="102"/>
      <c r="F34" s="103"/>
      <c r="G34" s="101"/>
      <c r="H34" s="102"/>
      <c r="I34" s="103"/>
      <c r="J34" s="31"/>
    </row>
    <row r="35" spans="1:10" ht="14.25" customHeight="1">
      <c r="A35" s="104" t="s">
        <v>467</v>
      </c>
      <c r="B35" s="105"/>
      <c r="C35" s="106"/>
      <c r="D35" s="104" t="s">
        <v>467</v>
      </c>
      <c r="E35" s="105"/>
      <c r="F35" s="106"/>
      <c r="G35" s="104" t="s">
        <v>467</v>
      </c>
      <c r="H35" s="105"/>
      <c r="I35" s="106"/>
      <c r="J35" s="31"/>
    </row>
    <row r="36" spans="1:9" ht="11.25" customHeight="1">
      <c r="A36" s="55" t="s">
        <v>80</v>
      </c>
      <c r="B36" s="43"/>
      <c r="C36" s="43"/>
      <c r="D36" s="43"/>
      <c r="E36" s="43"/>
      <c r="F36" s="43"/>
      <c r="G36" s="43"/>
      <c r="H36" s="43"/>
      <c r="I36" s="43"/>
    </row>
    <row r="37" spans="1:9" ht="12.75">
      <c r="A37" s="80" t="s">
        <v>81</v>
      </c>
      <c r="B37" s="72"/>
      <c r="C37" s="72"/>
      <c r="D37" s="72"/>
      <c r="E37" s="72"/>
      <c r="F37" s="72"/>
      <c r="G37" s="72"/>
      <c r="H37" s="72"/>
      <c r="I37" s="72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07" t="s">
        <v>359</v>
      </c>
      <c r="B1" s="108"/>
      <c r="C1" s="108"/>
      <c r="D1" s="108"/>
      <c r="E1" s="108"/>
      <c r="F1" s="108"/>
      <c r="G1" s="108"/>
    </row>
    <row r="2" spans="1:8" ht="12.75">
      <c r="A2" s="69" t="s">
        <v>1</v>
      </c>
      <c r="B2" s="73" t="s">
        <v>171</v>
      </c>
      <c r="C2" s="74"/>
      <c r="D2" s="76" t="s">
        <v>308</v>
      </c>
      <c r="E2" s="76" t="s">
        <v>313</v>
      </c>
      <c r="F2" s="70"/>
      <c r="G2" s="109"/>
      <c r="H2" s="30"/>
    </row>
    <row r="3" spans="1:8" ht="12.75">
      <c r="A3" s="71"/>
      <c r="B3" s="75"/>
      <c r="C3" s="75"/>
      <c r="D3" s="72"/>
      <c r="E3" s="72"/>
      <c r="F3" s="72"/>
      <c r="G3" s="78"/>
      <c r="H3" s="30"/>
    </row>
    <row r="4" spans="1:8" ht="12.75">
      <c r="A4" s="79" t="s">
        <v>2</v>
      </c>
      <c r="B4" s="80" t="s">
        <v>172</v>
      </c>
      <c r="C4" s="72"/>
      <c r="D4" s="80" t="s">
        <v>309</v>
      </c>
      <c r="E4" s="80" t="s">
        <v>314</v>
      </c>
      <c r="F4" s="72"/>
      <c r="G4" s="78"/>
      <c r="H4" s="30"/>
    </row>
    <row r="5" spans="1:8" ht="12.75">
      <c r="A5" s="71"/>
      <c r="B5" s="72"/>
      <c r="C5" s="72"/>
      <c r="D5" s="72"/>
      <c r="E5" s="72"/>
      <c r="F5" s="72"/>
      <c r="G5" s="78"/>
      <c r="H5" s="30"/>
    </row>
    <row r="6" spans="1:8" ht="12.75">
      <c r="A6" s="79" t="s">
        <v>3</v>
      </c>
      <c r="B6" s="80" t="s">
        <v>173</v>
      </c>
      <c r="C6" s="72"/>
      <c r="D6" s="80" t="s">
        <v>310</v>
      </c>
      <c r="E6" s="80"/>
      <c r="F6" s="72"/>
      <c r="G6" s="78"/>
      <c r="H6" s="30"/>
    </row>
    <row r="7" spans="1:8" ht="12.75">
      <c r="A7" s="71"/>
      <c r="B7" s="72"/>
      <c r="C7" s="72"/>
      <c r="D7" s="72"/>
      <c r="E7" s="72"/>
      <c r="F7" s="72"/>
      <c r="G7" s="78"/>
      <c r="H7" s="30"/>
    </row>
    <row r="8" spans="1:8" ht="12.75">
      <c r="A8" s="79" t="s">
        <v>311</v>
      </c>
      <c r="B8" s="80" t="s">
        <v>315</v>
      </c>
      <c r="C8" s="72"/>
      <c r="D8" s="83" t="s">
        <v>293</v>
      </c>
      <c r="E8" s="82">
        <v>42574</v>
      </c>
      <c r="F8" s="72"/>
      <c r="G8" s="78"/>
      <c r="H8" s="30"/>
    </row>
    <row r="9" spans="1:8" ht="12.75">
      <c r="A9" s="110"/>
      <c r="B9" s="111"/>
      <c r="C9" s="111"/>
      <c r="D9" s="111"/>
      <c r="E9" s="111"/>
      <c r="F9" s="111"/>
      <c r="G9" s="112"/>
      <c r="H9" s="30"/>
    </row>
    <row r="10" spans="1:8" ht="12.75">
      <c r="A10" s="38" t="s">
        <v>82</v>
      </c>
      <c r="B10" s="40" t="s">
        <v>83</v>
      </c>
      <c r="C10" s="41" t="s">
        <v>360</v>
      </c>
      <c r="D10" s="42" t="s">
        <v>361</v>
      </c>
      <c r="E10" s="42" t="s">
        <v>362</v>
      </c>
      <c r="F10" s="42" t="s">
        <v>363</v>
      </c>
      <c r="G10" s="45" t="s">
        <v>364</v>
      </c>
      <c r="H10" s="31"/>
    </row>
    <row r="11" spans="1:9" ht="12.75">
      <c r="A11" s="39"/>
      <c r="B11" s="39" t="s">
        <v>40</v>
      </c>
      <c r="C11" s="39" t="s">
        <v>176</v>
      </c>
      <c r="D11" s="43"/>
      <c r="E11" s="43"/>
      <c r="F11" s="46">
        <f aca="true" t="shared" si="0" ref="F11:F31">D11+E11</f>
        <v>0</v>
      </c>
      <c r="G11" s="46">
        <v>0.54648</v>
      </c>
      <c r="H11" s="32" t="s">
        <v>365</v>
      </c>
      <c r="I11" s="32">
        <f aca="true" t="shared" si="1" ref="I11:I31">IF(H11="T",0,F11)</f>
        <v>0</v>
      </c>
    </row>
    <row r="12" spans="1:9" ht="12.75">
      <c r="A12" s="16"/>
      <c r="B12" s="16" t="s">
        <v>47</v>
      </c>
      <c r="C12" s="16" t="s">
        <v>179</v>
      </c>
      <c r="F12" s="32">
        <f t="shared" si="0"/>
        <v>0</v>
      </c>
      <c r="G12" s="32">
        <v>1.73134</v>
      </c>
      <c r="H12" s="32" t="s">
        <v>365</v>
      </c>
      <c r="I12" s="32">
        <f t="shared" si="1"/>
        <v>0</v>
      </c>
    </row>
    <row r="13" spans="1:9" ht="12.75">
      <c r="A13" s="16"/>
      <c r="B13" s="16" t="s">
        <v>68</v>
      </c>
      <c r="C13" s="16" t="s">
        <v>185</v>
      </c>
      <c r="F13" s="32">
        <f t="shared" si="0"/>
        <v>0</v>
      </c>
      <c r="G13" s="32">
        <v>1.62242</v>
      </c>
      <c r="H13" s="32" t="s">
        <v>365</v>
      </c>
      <c r="I13" s="32">
        <f t="shared" si="1"/>
        <v>0</v>
      </c>
    </row>
    <row r="14" spans="1:9" ht="12.75">
      <c r="A14" s="16"/>
      <c r="B14" s="16" t="s">
        <v>70</v>
      </c>
      <c r="C14" s="16" t="s">
        <v>190</v>
      </c>
      <c r="F14" s="32">
        <f t="shared" si="0"/>
        <v>0</v>
      </c>
      <c r="G14" s="32">
        <v>0.4699</v>
      </c>
      <c r="H14" s="32" t="s">
        <v>365</v>
      </c>
      <c r="I14" s="32">
        <f t="shared" si="1"/>
        <v>0</v>
      </c>
    </row>
    <row r="15" spans="1:9" ht="12.75">
      <c r="A15" s="16"/>
      <c r="B15" s="16" t="s">
        <v>93</v>
      </c>
      <c r="C15" s="16" t="s">
        <v>194</v>
      </c>
      <c r="F15" s="32">
        <f t="shared" si="0"/>
        <v>0</v>
      </c>
      <c r="G15" s="32">
        <v>4.43235</v>
      </c>
      <c r="H15" s="32" t="s">
        <v>365</v>
      </c>
      <c r="I15" s="32">
        <f t="shared" si="1"/>
        <v>0</v>
      </c>
    </row>
    <row r="16" spans="1:9" ht="12.75">
      <c r="A16" s="16"/>
      <c r="B16" s="16" t="s">
        <v>103</v>
      </c>
      <c r="C16" s="16" t="s">
        <v>208</v>
      </c>
      <c r="F16" s="32">
        <f t="shared" si="0"/>
        <v>0</v>
      </c>
      <c r="G16" s="32">
        <v>2.65651</v>
      </c>
      <c r="H16" s="32" t="s">
        <v>365</v>
      </c>
      <c r="I16" s="32">
        <f t="shared" si="1"/>
        <v>0</v>
      </c>
    </row>
    <row r="17" spans="1:9" ht="12.75">
      <c r="A17" s="16"/>
      <c r="B17" s="16" t="s">
        <v>111</v>
      </c>
      <c r="C17" s="16" t="s">
        <v>216</v>
      </c>
      <c r="F17" s="32">
        <f t="shared" si="0"/>
        <v>0</v>
      </c>
      <c r="G17" s="32">
        <v>0.3582</v>
      </c>
      <c r="H17" s="32" t="s">
        <v>365</v>
      </c>
      <c r="I17" s="32">
        <f t="shared" si="1"/>
        <v>0</v>
      </c>
    </row>
    <row r="18" spans="1:9" ht="12.75">
      <c r="A18" s="16"/>
      <c r="B18" s="16" t="s">
        <v>116</v>
      </c>
      <c r="C18" s="16" t="s">
        <v>222</v>
      </c>
      <c r="F18" s="32">
        <f t="shared" si="0"/>
        <v>0</v>
      </c>
      <c r="G18" s="32">
        <v>0.78729</v>
      </c>
      <c r="H18" s="32" t="s">
        <v>365</v>
      </c>
      <c r="I18" s="32">
        <f t="shared" si="1"/>
        <v>0</v>
      </c>
    </row>
    <row r="19" spans="1:9" ht="12.75">
      <c r="A19" s="16"/>
      <c r="B19" s="16" t="s">
        <v>129</v>
      </c>
      <c r="C19" s="16" t="s">
        <v>242</v>
      </c>
      <c r="F19" s="32">
        <f t="shared" si="0"/>
        <v>0</v>
      </c>
      <c r="G19" s="32">
        <v>1.85028</v>
      </c>
      <c r="H19" s="32" t="s">
        <v>365</v>
      </c>
      <c r="I19" s="32">
        <f t="shared" si="1"/>
        <v>0</v>
      </c>
    </row>
    <row r="20" spans="1:9" ht="12.75">
      <c r="A20" s="16"/>
      <c r="B20" s="16" t="s">
        <v>134</v>
      </c>
      <c r="C20" s="16" t="s">
        <v>251</v>
      </c>
      <c r="F20" s="32">
        <f t="shared" si="0"/>
        <v>0</v>
      </c>
      <c r="G20" s="32">
        <v>0.0626</v>
      </c>
      <c r="H20" s="32" t="s">
        <v>365</v>
      </c>
      <c r="I20" s="32">
        <f t="shared" si="1"/>
        <v>0</v>
      </c>
    </row>
    <row r="21" spans="1:9" ht="12.75">
      <c r="A21" s="16"/>
      <c r="B21" s="16" t="s">
        <v>138</v>
      </c>
      <c r="C21" s="16" t="s">
        <v>256</v>
      </c>
      <c r="F21" s="32">
        <f t="shared" si="0"/>
        <v>0</v>
      </c>
      <c r="G21" s="32">
        <v>1.07568</v>
      </c>
      <c r="H21" s="32" t="s">
        <v>365</v>
      </c>
      <c r="I21" s="32">
        <f t="shared" si="1"/>
        <v>0</v>
      </c>
    </row>
    <row r="22" spans="1:9" ht="12.75">
      <c r="A22" s="16"/>
      <c r="B22" s="16" t="s">
        <v>142</v>
      </c>
      <c r="C22" s="16" t="s">
        <v>260</v>
      </c>
      <c r="F22" s="32">
        <f t="shared" si="0"/>
        <v>0</v>
      </c>
      <c r="G22" s="32">
        <v>0.00676</v>
      </c>
      <c r="H22" s="32" t="s">
        <v>365</v>
      </c>
      <c r="I22" s="32">
        <f t="shared" si="1"/>
        <v>0</v>
      </c>
    </row>
    <row r="23" spans="1:9" ht="12.75">
      <c r="A23" s="16"/>
      <c r="B23" s="16" t="s">
        <v>144</v>
      </c>
      <c r="C23" s="16" t="s">
        <v>263</v>
      </c>
      <c r="F23" s="32">
        <f t="shared" si="0"/>
        <v>0</v>
      </c>
      <c r="G23" s="32">
        <v>0</v>
      </c>
      <c r="H23" s="32" t="s">
        <v>365</v>
      </c>
      <c r="I23" s="32">
        <f t="shared" si="1"/>
        <v>0</v>
      </c>
    </row>
    <row r="24" spans="1:9" ht="12.75">
      <c r="A24" s="16"/>
      <c r="B24" s="16" t="s">
        <v>149</v>
      </c>
      <c r="C24" s="16" t="s">
        <v>270</v>
      </c>
      <c r="F24" s="32">
        <f t="shared" si="0"/>
        <v>0</v>
      </c>
      <c r="G24" s="32">
        <v>2.55518</v>
      </c>
      <c r="H24" s="32" t="s">
        <v>365</v>
      </c>
      <c r="I24" s="32">
        <f t="shared" si="1"/>
        <v>0</v>
      </c>
    </row>
    <row r="25" spans="1:9" ht="12.75">
      <c r="A25" s="16"/>
      <c r="B25" s="16" t="s">
        <v>153</v>
      </c>
      <c r="C25" s="16" t="s">
        <v>275</v>
      </c>
      <c r="F25" s="32">
        <f t="shared" si="0"/>
        <v>0</v>
      </c>
      <c r="G25" s="32">
        <v>0</v>
      </c>
      <c r="H25" s="32" t="s">
        <v>365</v>
      </c>
      <c r="I25" s="32">
        <f t="shared" si="1"/>
        <v>0</v>
      </c>
    </row>
    <row r="26" spans="1:9" ht="12.75">
      <c r="A26" s="16"/>
      <c r="B26" s="16" t="s">
        <v>155</v>
      </c>
      <c r="C26" s="16" t="s">
        <v>194</v>
      </c>
      <c r="F26" s="32">
        <f t="shared" si="0"/>
        <v>0</v>
      </c>
      <c r="G26" s="32">
        <v>0</v>
      </c>
      <c r="H26" s="32" t="s">
        <v>365</v>
      </c>
      <c r="I26" s="32">
        <f t="shared" si="1"/>
        <v>0</v>
      </c>
    </row>
    <row r="27" spans="1:9" ht="12.75">
      <c r="A27" s="16"/>
      <c r="B27" s="16" t="s">
        <v>157</v>
      </c>
      <c r="C27" s="16" t="s">
        <v>208</v>
      </c>
      <c r="F27" s="32">
        <f t="shared" si="0"/>
        <v>0</v>
      </c>
      <c r="G27" s="32">
        <v>0</v>
      </c>
      <c r="H27" s="32" t="s">
        <v>365</v>
      </c>
      <c r="I27" s="32">
        <f t="shared" si="1"/>
        <v>0</v>
      </c>
    </row>
    <row r="28" spans="1:9" ht="12.75">
      <c r="A28" s="16"/>
      <c r="B28" s="16" t="s">
        <v>159</v>
      </c>
      <c r="C28" s="16" t="s">
        <v>216</v>
      </c>
      <c r="F28" s="32">
        <f t="shared" si="0"/>
        <v>0</v>
      </c>
      <c r="G28" s="32">
        <v>0</v>
      </c>
      <c r="H28" s="32" t="s">
        <v>365</v>
      </c>
      <c r="I28" s="32">
        <f t="shared" si="1"/>
        <v>0</v>
      </c>
    </row>
    <row r="29" spans="1:9" ht="12.75">
      <c r="A29" s="16"/>
      <c r="B29" s="16" t="s">
        <v>161</v>
      </c>
      <c r="C29" s="16" t="s">
        <v>222</v>
      </c>
      <c r="F29" s="32">
        <f t="shared" si="0"/>
        <v>0</v>
      </c>
      <c r="G29" s="32">
        <v>0</v>
      </c>
      <c r="H29" s="32" t="s">
        <v>365</v>
      </c>
      <c r="I29" s="32">
        <f t="shared" si="1"/>
        <v>0</v>
      </c>
    </row>
    <row r="30" spans="1:9" ht="12.75">
      <c r="A30" s="16"/>
      <c r="B30" s="16" t="s">
        <v>163</v>
      </c>
      <c r="C30" s="16" t="s">
        <v>242</v>
      </c>
      <c r="F30" s="32">
        <f t="shared" si="0"/>
        <v>0</v>
      </c>
      <c r="G30" s="32">
        <v>0</v>
      </c>
      <c r="H30" s="32" t="s">
        <v>365</v>
      </c>
      <c r="I30" s="32">
        <f t="shared" si="1"/>
        <v>0</v>
      </c>
    </row>
    <row r="31" spans="1:9" ht="12.75">
      <c r="A31" s="16"/>
      <c r="B31" s="16" t="s">
        <v>165</v>
      </c>
      <c r="C31" s="16" t="s">
        <v>282</v>
      </c>
      <c r="F31" s="32">
        <f t="shared" si="0"/>
        <v>0</v>
      </c>
      <c r="G31" s="32">
        <v>0</v>
      </c>
      <c r="H31" s="32" t="s">
        <v>365</v>
      </c>
      <c r="I31" s="32">
        <f t="shared" si="1"/>
        <v>0</v>
      </c>
    </row>
    <row r="33" spans="5:6" ht="12.75">
      <c r="E33" s="44" t="s">
        <v>307</v>
      </c>
      <c r="F33" s="37">
        <f>SUM(I11:I31)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5"/>
  <sheetViews>
    <sheetView zoomScalePageLayoutView="0" workbookViewId="0" topLeftCell="A1">
      <selection activeCell="M13" sqref="M13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9.421875" style="0" customWidth="1"/>
    <col min="5" max="5" width="6.003906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0" style="0" hidden="1" customWidth="1"/>
    <col min="14" max="46" width="12.140625" style="0" hidden="1" customWidth="1"/>
  </cols>
  <sheetData>
    <row r="1" spans="1:12" ht="72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12.75">
      <c r="A2" s="69" t="s">
        <v>1</v>
      </c>
      <c r="B2" s="70"/>
      <c r="C2" s="70"/>
      <c r="D2" s="73" t="s">
        <v>171</v>
      </c>
      <c r="E2" s="113" t="s">
        <v>290</v>
      </c>
      <c r="F2" s="70"/>
      <c r="G2" s="113"/>
      <c r="H2" s="70"/>
      <c r="I2" s="76" t="s">
        <v>308</v>
      </c>
      <c r="J2" s="76" t="s">
        <v>313</v>
      </c>
      <c r="K2" s="70"/>
      <c r="L2" s="70"/>
      <c r="M2" s="30"/>
    </row>
    <row r="3" spans="1:13" ht="12.75">
      <c r="A3" s="71"/>
      <c r="B3" s="72"/>
      <c r="C3" s="72"/>
      <c r="D3" s="75"/>
      <c r="E3" s="72"/>
      <c r="F3" s="72"/>
      <c r="G3" s="72"/>
      <c r="H3" s="72"/>
      <c r="I3" s="72"/>
      <c r="J3" s="72"/>
      <c r="K3" s="72"/>
      <c r="L3" s="72"/>
      <c r="M3" s="30"/>
    </row>
    <row r="4" spans="1:13" ht="12.75">
      <c r="A4" s="79" t="s">
        <v>2</v>
      </c>
      <c r="B4" s="72"/>
      <c r="C4" s="72"/>
      <c r="D4" s="80" t="s">
        <v>172</v>
      </c>
      <c r="E4" s="83" t="s">
        <v>291</v>
      </c>
      <c r="F4" s="72"/>
      <c r="G4" s="82">
        <v>42574</v>
      </c>
      <c r="H4" s="72"/>
      <c r="I4" s="80" t="s">
        <v>309</v>
      </c>
      <c r="J4" s="80" t="s">
        <v>314</v>
      </c>
      <c r="K4" s="72"/>
      <c r="L4" s="72"/>
      <c r="M4" s="30"/>
    </row>
    <row r="5" spans="1:13" ht="12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30"/>
    </row>
    <row r="6" spans="1:13" ht="12.75">
      <c r="A6" s="79" t="s">
        <v>3</v>
      </c>
      <c r="B6" s="72"/>
      <c r="C6" s="72"/>
      <c r="D6" s="80" t="s">
        <v>173</v>
      </c>
      <c r="E6" s="83" t="s">
        <v>292</v>
      </c>
      <c r="F6" s="72"/>
      <c r="G6" s="72"/>
      <c r="H6" s="72"/>
      <c r="I6" s="80" t="s">
        <v>310</v>
      </c>
      <c r="J6" s="80"/>
      <c r="K6" s="72"/>
      <c r="L6" s="72"/>
      <c r="M6" s="30"/>
    </row>
    <row r="7" spans="1:13" ht="12.75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30"/>
    </row>
    <row r="8" spans="1:13" ht="12.75">
      <c r="A8" s="79" t="s">
        <v>4</v>
      </c>
      <c r="B8" s="72"/>
      <c r="C8" s="72"/>
      <c r="D8" s="80">
        <v>801</v>
      </c>
      <c r="E8" s="83" t="s">
        <v>293</v>
      </c>
      <c r="F8" s="72"/>
      <c r="G8" s="82">
        <v>42574</v>
      </c>
      <c r="H8" s="72"/>
      <c r="I8" s="80" t="s">
        <v>311</v>
      </c>
      <c r="J8" s="80" t="s">
        <v>315</v>
      </c>
      <c r="K8" s="72"/>
      <c r="L8" s="72"/>
      <c r="M8" s="30"/>
    </row>
    <row r="9" spans="1:13" ht="12.75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30"/>
    </row>
    <row r="10" spans="1:13" ht="12.75">
      <c r="A10" s="1" t="s">
        <v>5</v>
      </c>
      <c r="B10" s="10" t="s">
        <v>82</v>
      </c>
      <c r="C10" s="10" t="s">
        <v>83</v>
      </c>
      <c r="D10" s="10" t="s">
        <v>174</v>
      </c>
      <c r="E10" s="10" t="s">
        <v>294</v>
      </c>
      <c r="F10" s="17" t="s">
        <v>302</v>
      </c>
      <c r="G10" s="21" t="s">
        <v>303</v>
      </c>
      <c r="H10" s="114" t="s">
        <v>305</v>
      </c>
      <c r="I10" s="115"/>
      <c r="J10" s="116"/>
      <c r="K10" s="114" t="s">
        <v>317</v>
      </c>
      <c r="L10" s="116"/>
      <c r="M10" s="31"/>
    </row>
    <row r="11" spans="1:23" ht="12.75">
      <c r="A11" s="2" t="s">
        <v>6</v>
      </c>
      <c r="B11" s="11" t="s">
        <v>6</v>
      </c>
      <c r="C11" s="11" t="s">
        <v>6</v>
      </c>
      <c r="D11" s="14" t="s">
        <v>175</v>
      </c>
      <c r="E11" s="11" t="s">
        <v>6</v>
      </c>
      <c r="F11" s="11" t="s">
        <v>6</v>
      </c>
      <c r="G11" s="22" t="s">
        <v>304</v>
      </c>
      <c r="H11" s="23" t="s">
        <v>306</v>
      </c>
      <c r="I11" s="24" t="s">
        <v>312</v>
      </c>
      <c r="J11" s="25" t="s">
        <v>316</v>
      </c>
      <c r="K11" s="23" t="s">
        <v>303</v>
      </c>
      <c r="L11" s="25" t="s">
        <v>316</v>
      </c>
      <c r="M11" s="31"/>
      <c r="O11" s="27" t="s">
        <v>319</v>
      </c>
      <c r="P11" s="27" t="s">
        <v>320</v>
      </c>
      <c r="Q11" s="27" t="s">
        <v>323</v>
      </c>
      <c r="R11" s="27" t="s">
        <v>324</v>
      </c>
      <c r="S11" s="27" t="s">
        <v>325</v>
      </c>
      <c r="T11" s="27" t="s">
        <v>326</v>
      </c>
      <c r="U11" s="27" t="s">
        <v>327</v>
      </c>
      <c r="V11" s="27" t="s">
        <v>328</v>
      </c>
      <c r="W11" s="27" t="s">
        <v>329</v>
      </c>
    </row>
    <row r="12" spans="1:36" ht="12.75">
      <c r="A12" s="3"/>
      <c r="B12" s="12"/>
      <c r="C12" s="12" t="s">
        <v>40</v>
      </c>
      <c r="D12" s="117" t="s">
        <v>176</v>
      </c>
      <c r="E12" s="118"/>
      <c r="F12" s="118"/>
      <c r="G12" s="118"/>
      <c r="H12" s="34">
        <f>SUM(H13:H13)</f>
        <v>0</v>
      </c>
      <c r="I12" s="34">
        <f>SUM(I13:I13)</f>
        <v>0</v>
      </c>
      <c r="J12" s="34">
        <f>H12+I12</f>
        <v>0</v>
      </c>
      <c r="K12" s="26"/>
      <c r="L12" s="34">
        <f>SUM(L13:L13)</f>
        <v>0.5464806</v>
      </c>
      <c r="O12" s="35">
        <f>IF(P12="PR",J12,SUM(N13:N13))</f>
        <v>0</v>
      </c>
      <c r="P12" s="27" t="s">
        <v>321</v>
      </c>
      <c r="Q12" s="35">
        <f>IF(P12="HS",H12,0)</f>
        <v>0</v>
      </c>
      <c r="R12" s="35">
        <f>IF(P12="HS",I12-O12,0)</f>
        <v>0</v>
      </c>
      <c r="S12" s="35">
        <f>IF(P12="PS",H12,0)</f>
        <v>0</v>
      </c>
      <c r="T12" s="35">
        <f>IF(P12="PS",I12-O12,0)</f>
        <v>0</v>
      </c>
      <c r="U12" s="35">
        <f>IF(P12="MP",H12,0)</f>
        <v>0</v>
      </c>
      <c r="V12" s="35">
        <f>IF(P12="MP",I12-O12,0)</f>
        <v>0</v>
      </c>
      <c r="W12" s="35">
        <f>IF(P12="OM",H12,0)</f>
        <v>0</v>
      </c>
      <c r="X12" s="27"/>
      <c r="AH12" s="35">
        <f>SUM(Y13:Y13)</f>
        <v>0</v>
      </c>
      <c r="AI12" s="35">
        <f>SUM(Z13:Z13)</f>
        <v>0</v>
      </c>
      <c r="AJ12" s="35">
        <f>SUM(AA13:AA13)</f>
        <v>0</v>
      </c>
    </row>
    <row r="13" spans="1:42" ht="12.75">
      <c r="A13" s="4" t="s">
        <v>7</v>
      </c>
      <c r="B13" s="4"/>
      <c r="C13" s="4" t="s">
        <v>84</v>
      </c>
      <c r="D13" s="4" t="s">
        <v>177</v>
      </c>
      <c r="E13" s="4" t="s">
        <v>295</v>
      </c>
      <c r="F13" s="18">
        <v>39.86</v>
      </c>
      <c r="G13" s="18">
        <v>0</v>
      </c>
      <c r="H13" s="18">
        <f>ROUND(F13*AD13,2)</f>
        <v>0</v>
      </c>
      <c r="I13" s="18">
        <f>J13-H13</f>
        <v>0</v>
      </c>
      <c r="J13" s="18">
        <f>ROUND(F13*G13,2)</f>
        <v>0</v>
      </c>
      <c r="K13" s="18">
        <v>0.01371</v>
      </c>
      <c r="L13" s="18">
        <f>F13*K13</f>
        <v>0.5464806</v>
      </c>
      <c r="M13" s="28" t="s">
        <v>7</v>
      </c>
      <c r="N13" s="18">
        <f>IF(M13="5",I13,0)</f>
        <v>0</v>
      </c>
      <c r="Y13" s="18">
        <f>IF(AC13=0,J13,0)</f>
        <v>0</v>
      </c>
      <c r="Z13" s="18">
        <f>IF(AC13=15,J13,0)</f>
        <v>0</v>
      </c>
      <c r="AA13" s="18">
        <f>IF(AC13=21,J13,0)</f>
        <v>0</v>
      </c>
      <c r="AC13" s="32">
        <v>21</v>
      </c>
      <c r="AD13" s="32">
        <f>G13*0.602315505362597</f>
        <v>0</v>
      </c>
      <c r="AE13" s="32">
        <f>G13*(1-0.602315505362597)</f>
        <v>0</v>
      </c>
      <c r="AL13" s="32">
        <f>F13*AD13</f>
        <v>0</v>
      </c>
      <c r="AM13" s="32">
        <f>F13*AE13</f>
        <v>0</v>
      </c>
      <c r="AN13" s="33" t="s">
        <v>330</v>
      </c>
      <c r="AO13" s="33" t="s">
        <v>351</v>
      </c>
      <c r="AP13" s="27" t="s">
        <v>358</v>
      </c>
    </row>
    <row r="14" ht="12.75">
      <c r="D14" s="15" t="s">
        <v>178</v>
      </c>
    </row>
    <row r="15" spans="1:36" ht="12.75">
      <c r="A15" s="5"/>
      <c r="B15" s="13"/>
      <c r="C15" s="13" t="s">
        <v>47</v>
      </c>
      <c r="D15" s="119" t="s">
        <v>179</v>
      </c>
      <c r="E15" s="120"/>
      <c r="F15" s="120"/>
      <c r="G15" s="120"/>
      <c r="H15" s="35">
        <f>SUM(H16:H20)</f>
        <v>0</v>
      </c>
      <c r="I15" s="35">
        <f>SUM(I16:I20)</f>
        <v>0</v>
      </c>
      <c r="J15" s="35">
        <f>H15+I15</f>
        <v>0</v>
      </c>
      <c r="K15" s="27"/>
      <c r="L15" s="35">
        <f>SUM(L16:L20)</f>
        <v>1.7313405999999998</v>
      </c>
      <c r="O15" s="35">
        <f>IF(P15="PR",J15,SUM(N16:N20))</f>
        <v>0</v>
      </c>
      <c r="P15" s="27" t="s">
        <v>321</v>
      </c>
      <c r="Q15" s="35">
        <f>IF(P15="HS",H15,0)</f>
        <v>0</v>
      </c>
      <c r="R15" s="35">
        <f>IF(P15="HS",I15-O15,0)</f>
        <v>0</v>
      </c>
      <c r="S15" s="35">
        <f>IF(P15="PS",H15,0)</f>
        <v>0</v>
      </c>
      <c r="T15" s="35">
        <f>IF(P15="PS",I15-O15,0)</f>
        <v>0</v>
      </c>
      <c r="U15" s="35">
        <f>IF(P15="MP",H15,0)</f>
        <v>0</v>
      </c>
      <c r="V15" s="35">
        <f>IF(P15="MP",I15-O15,0)</f>
        <v>0</v>
      </c>
      <c r="W15" s="35">
        <f>IF(P15="OM",H15,0)</f>
        <v>0</v>
      </c>
      <c r="X15" s="27"/>
      <c r="AH15" s="35">
        <f>SUM(Y16:Y20)</f>
        <v>0</v>
      </c>
      <c r="AI15" s="35">
        <f>SUM(Z16:Z20)</f>
        <v>0</v>
      </c>
      <c r="AJ15" s="35">
        <f>SUM(AA16:AA20)</f>
        <v>0</v>
      </c>
    </row>
    <row r="16" spans="1:42" ht="12.75">
      <c r="A16" s="4" t="s">
        <v>8</v>
      </c>
      <c r="B16" s="4"/>
      <c r="C16" s="4" t="s">
        <v>85</v>
      </c>
      <c r="D16" s="4" t="s">
        <v>180</v>
      </c>
      <c r="E16" s="4" t="s">
        <v>296</v>
      </c>
      <c r="F16" s="18">
        <v>1.41</v>
      </c>
      <c r="G16" s="18">
        <v>0</v>
      </c>
      <c r="H16" s="18">
        <f>ROUND(F16*AD16,2)</f>
        <v>0</v>
      </c>
      <c r="I16" s="18">
        <f>J16-H16</f>
        <v>0</v>
      </c>
      <c r="J16" s="18">
        <f>ROUND(F16*G16,2)</f>
        <v>0</v>
      </c>
      <c r="K16" s="18">
        <v>1.09663</v>
      </c>
      <c r="L16" s="18">
        <f>F16*K16</f>
        <v>1.5462482999999998</v>
      </c>
      <c r="M16" s="28" t="s">
        <v>7</v>
      </c>
      <c r="N16" s="18">
        <f>IF(M16="5",I16,0)</f>
        <v>0</v>
      </c>
      <c r="Y16" s="18">
        <f>IF(AC16=0,J16,0)</f>
        <v>0</v>
      </c>
      <c r="Z16" s="18">
        <f>IF(AC16=15,J16,0)</f>
        <v>0</v>
      </c>
      <c r="AA16" s="18">
        <f>IF(AC16=21,J16,0)</f>
        <v>0</v>
      </c>
      <c r="AC16" s="32">
        <v>21</v>
      </c>
      <c r="AD16" s="32">
        <f>G16*0.749518191091466</f>
        <v>0</v>
      </c>
      <c r="AE16" s="32">
        <f>G16*(1-0.749518191091466)</f>
        <v>0</v>
      </c>
      <c r="AL16" s="32">
        <f>F16*AD16</f>
        <v>0</v>
      </c>
      <c r="AM16" s="32">
        <f>F16*AE16</f>
        <v>0</v>
      </c>
      <c r="AN16" s="33" t="s">
        <v>331</v>
      </c>
      <c r="AO16" s="33" t="s">
        <v>352</v>
      </c>
      <c r="AP16" s="27" t="s">
        <v>358</v>
      </c>
    </row>
    <row r="17" ht="51">
      <c r="D17" s="15" t="s">
        <v>181</v>
      </c>
    </row>
    <row r="18" spans="1:42" ht="12.75">
      <c r="A18" s="4" t="s">
        <v>9</v>
      </c>
      <c r="B18" s="4"/>
      <c r="C18" s="4" t="s">
        <v>86</v>
      </c>
      <c r="D18" s="4" t="s">
        <v>182</v>
      </c>
      <c r="E18" s="4" t="s">
        <v>296</v>
      </c>
      <c r="F18" s="18">
        <v>0.13</v>
      </c>
      <c r="G18" s="18">
        <v>0</v>
      </c>
      <c r="H18" s="18">
        <f>ROUND(F18*AD18,2)</f>
        <v>0</v>
      </c>
      <c r="I18" s="18">
        <f>J18-H18</f>
        <v>0</v>
      </c>
      <c r="J18" s="18">
        <f>ROUND(F18*G18,2)</f>
        <v>0</v>
      </c>
      <c r="K18" s="18">
        <v>1.09663</v>
      </c>
      <c r="L18" s="18">
        <f>F18*K18</f>
        <v>0.1425619</v>
      </c>
      <c r="M18" s="28" t="s">
        <v>7</v>
      </c>
      <c r="N18" s="18">
        <f>IF(M18="5",I18,0)</f>
        <v>0</v>
      </c>
      <c r="Y18" s="18">
        <f>IF(AC18=0,J18,0)</f>
        <v>0</v>
      </c>
      <c r="Z18" s="18">
        <f>IF(AC18=15,J18,0)</f>
        <v>0</v>
      </c>
      <c r="AA18" s="18">
        <f>IF(AC18=21,J18,0)</f>
        <v>0</v>
      </c>
      <c r="AC18" s="32">
        <v>21</v>
      </c>
      <c r="AD18" s="32">
        <f>G18*0.749518191091466</f>
        <v>0</v>
      </c>
      <c r="AE18" s="32">
        <f>G18*(1-0.749518191091466)</f>
        <v>0</v>
      </c>
      <c r="AL18" s="32">
        <f>F18*AD18</f>
        <v>0</v>
      </c>
      <c r="AM18" s="32">
        <f>F18*AE18</f>
        <v>0</v>
      </c>
      <c r="AN18" s="33" t="s">
        <v>331</v>
      </c>
      <c r="AO18" s="33" t="s">
        <v>352</v>
      </c>
      <c r="AP18" s="27" t="s">
        <v>358</v>
      </c>
    </row>
    <row r="19" ht="12.75">
      <c r="D19" s="15" t="s">
        <v>183</v>
      </c>
    </row>
    <row r="20" spans="1:42" ht="12.75">
      <c r="A20" s="4" t="s">
        <v>10</v>
      </c>
      <c r="B20" s="4"/>
      <c r="C20" s="4" t="s">
        <v>87</v>
      </c>
      <c r="D20" s="4" t="s">
        <v>184</v>
      </c>
      <c r="E20" s="4" t="s">
        <v>297</v>
      </c>
      <c r="F20" s="18">
        <v>42.96</v>
      </c>
      <c r="G20" s="18">
        <v>0</v>
      </c>
      <c r="H20" s="18">
        <f>ROUND(F20*AD20,2)</f>
        <v>0</v>
      </c>
      <c r="I20" s="18">
        <f>J20-H20</f>
        <v>0</v>
      </c>
      <c r="J20" s="18">
        <f>ROUND(F20*G20,2)</f>
        <v>0</v>
      </c>
      <c r="K20" s="18">
        <v>0.00099</v>
      </c>
      <c r="L20" s="18">
        <f>F20*K20</f>
        <v>0.0425304</v>
      </c>
      <c r="M20" s="28" t="s">
        <v>7</v>
      </c>
      <c r="N20" s="18">
        <f>IF(M20="5",I20,0)</f>
        <v>0</v>
      </c>
      <c r="Y20" s="18">
        <f>IF(AC20=0,J20,0)</f>
        <v>0</v>
      </c>
      <c r="Z20" s="18">
        <f>IF(AC20=15,J20,0)</f>
        <v>0</v>
      </c>
      <c r="AA20" s="18">
        <f>IF(AC20=21,J20,0)</f>
        <v>0</v>
      </c>
      <c r="AC20" s="32">
        <v>21</v>
      </c>
      <c r="AD20" s="32">
        <f>G20*0.12955042527339</f>
        <v>0</v>
      </c>
      <c r="AE20" s="32">
        <f>G20*(1-0.12955042527339)</f>
        <v>0</v>
      </c>
      <c r="AL20" s="32">
        <f>F20*AD20</f>
        <v>0</v>
      </c>
      <c r="AM20" s="32">
        <f>F20*AE20</f>
        <v>0</v>
      </c>
      <c r="AN20" s="33" t="s">
        <v>331</v>
      </c>
      <c r="AO20" s="33" t="s">
        <v>352</v>
      </c>
      <c r="AP20" s="27" t="s">
        <v>358</v>
      </c>
    </row>
    <row r="21" spans="1:36" ht="12.75">
      <c r="A21" s="5"/>
      <c r="B21" s="13"/>
      <c r="C21" s="13" t="s">
        <v>68</v>
      </c>
      <c r="D21" s="119" t="s">
        <v>185</v>
      </c>
      <c r="E21" s="120"/>
      <c r="F21" s="120"/>
      <c r="G21" s="120"/>
      <c r="H21" s="35">
        <f>SUM(H22:H25)</f>
        <v>0</v>
      </c>
      <c r="I21" s="35">
        <f>SUM(I22:I25)</f>
        <v>0</v>
      </c>
      <c r="J21" s="35">
        <f>H21+I21</f>
        <v>0</v>
      </c>
      <c r="K21" s="27"/>
      <c r="L21" s="35">
        <f>SUM(L22:L25)</f>
        <v>1.6224110000000003</v>
      </c>
      <c r="O21" s="35">
        <f>IF(P21="PR",J21,SUM(N22:N25))</f>
        <v>0</v>
      </c>
      <c r="P21" s="27" t="s">
        <v>321</v>
      </c>
      <c r="Q21" s="35">
        <f>IF(P21="HS",H21,0)</f>
        <v>0</v>
      </c>
      <c r="R21" s="35">
        <f>IF(P21="HS",I21-O21,0)</f>
        <v>0</v>
      </c>
      <c r="S21" s="35">
        <f>IF(P21="PS",H21,0)</f>
        <v>0</v>
      </c>
      <c r="T21" s="35">
        <f>IF(P21="PS",I21-O21,0)</f>
        <v>0</v>
      </c>
      <c r="U21" s="35">
        <f>IF(P21="MP",H21,0)</f>
        <v>0</v>
      </c>
      <c r="V21" s="35">
        <f>IF(P21="MP",I21-O21,0)</f>
        <v>0</v>
      </c>
      <c r="W21" s="35">
        <f>IF(P21="OM",H21,0)</f>
        <v>0</v>
      </c>
      <c r="X21" s="27"/>
      <c r="AH21" s="35">
        <f>SUM(Y22:Y25)</f>
        <v>0</v>
      </c>
      <c r="AI21" s="35">
        <f>SUM(Z22:Z25)</f>
        <v>0</v>
      </c>
      <c r="AJ21" s="35">
        <f>SUM(AA22:AA25)</f>
        <v>0</v>
      </c>
    </row>
    <row r="22" spans="1:42" ht="12.75">
      <c r="A22" s="4" t="s">
        <v>11</v>
      </c>
      <c r="B22" s="4"/>
      <c r="C22" s="4" t="s">
        <v>88</v>
      </c>
      <c r="D22" s="4" t="s">
        <v>186</v>
      </c>
      <c r="E22" s="4" t="s">
        <v>295</v>
      </c>
      <c r="F22" s="18">
        <v>14.8</v>
      </c>
      <c r="G22" s="18">
        <v>0</v>
      </c>
      <c r="H22" s="18">
        <f>ROUND(F22*AD22,2)</f>
        <v>0</v>
      </c>
      <c r="I22" s="18">
        <f>J22-H22</f>
        <v>0</v>
      </c>
      <c r="J22" s="18">
        <f>ROUND(F22*G22,2)</f>
        <v>0</v>
      </c>
      <c r="K22" s="18">
        <v>0.08257</v>
      </c>
      <c r="L22" s="18">
        <f>F22*K22</f>
        <v>1.2220360000000001</v>
      </c>
      <c r="M22" s="28" t="s">
        <v>9</v>
      </c>
      <c r="N22" s="18">
        <f>IF(M22="5",I22,0)</f>
        <v>0</v>
      </c>
      <c r="Y22" s="18">
        <f>IF(AC22=0,J22,0)</f>
        <v>0</v>
      </c>
      <c r="Z22" s="18">
        <f>IF(AC22=15,J22,0)</f>
        <v>0</v>
      </c>
      <c r="AA22" s="18">
        <f>IF(AC22=21,J22,0)</f>
        <v>0</v>
      </c>
      <c r="AC22" s="32">
        <v>21</v>
      </c>
      <c r="AD22" s="32">
        <f>G22*0.171045406898388</f>
        <v>0</v>
      </c>
      <c r="AE22" s="32">
        <f>G22*(1-0.171045406898388)</f>
        <v>0</v>
      </c>
      <c r="AL22" s="32">
        <f>F22*AD22</f>
        <v>0</v>
      </c>
      <c r="AM22" s="32">
        <f>F22*AE22</f>
        <v>0</v>
      </c>
      <c r="AN22" s="33" t="s">
        <v>332</v>
      </c>
      <c r="AO22" s="33" t="s">
        <v>353</v>
      </c>
      <c r="AP22" s="27" t="s">
        <v>358</v>
      </c>
    </row>
    <row r="23" ht="12.75">
      <c r="D23" s="15" t="s">
        <v>187</v>
      </c>
    </row>
    <row r="24" spans="1:42" ht="12.75">
      <c r="A24" s="4" t="s">
        <v>12</v>
      </c>
      <c r="B24" s="4"/>
      <c r="C24" s="4" t="s">
        <v>89</v>
      </c>
      <c r="D24" s="4" t="s">
        <v>188</v>
      </c>
      <c r="E24" s="4" t="s">
        <v>295</v>
      </c>
      <c r="F24" s="18">
        <v>5</v>
      </c>
      <c r="G24" s="18">
        <v>0</v>
      </c>
      <c r="H24" s="18">
        <f>ROUND(F24*AD24,2)</f>
        <v>0</v>
      </c>
      <c r="I24" s="18">
        <f>J24-H24</f>
        <v>0</v>
      </c>
      <c r="J24" s="18">
        <f>ROUND(F24*G24,2)</f>
        <v>0</v>
      </c>
      <c r="K24" s="18">
        <v>0.07945</v>
      </c>
      <c r="L24" s="18">
        <f>F24*K24</f>
        <v>0.39725000000000005</v>
      </c>
      <c r="M24" s="28" t="s">
        <v>9</v>
      </c>
      <c r="N24" s="18">
        <f>IF(M24="5",I24,0)</f>
        <v>0</v>
      </c>
      <c r="Y24" s="18">
        <f>IF(AC24=0,J24,0)</f>
        <v>0</v>
      </c>
      <c r="Z24" s="18">
        <f>IF(AC24=15,J24,0)</f>
        <v>0</v>
      </c>
      <c r="AA24" s="18">
        <f>IF(AC24=21,J24,0)</f>
        <v>0</v>
      </c>
      <c r="AC24" s="32">
        <v>21</v>
      </c>
      <c r="AD24" s="32">
        <f>G24*0.172581888246628</f>
        <v>0</v>
      </c>
      <c r="AE24" s="32">
        <f>G24*(1-0.172581888246628)</f>
        <v>0</v>
      </c>
      <c r="AL24" s="32">
        <f>F24*AD24</f>
        <v>0</v>
      </c>
      <c r="AM24" s="32">
        <f>F24*AE24</f>
        <v>0</v>
      </c>
      <c r="AN24" s="33" t="s">
        <v>332</v>
      </c>
      <c r="AO24" s="33" t="s">
        <v>353</v>
      </c>
      <c r="AP24" s="27" t="s">
        <v>358</v>
      </c>
    </row>
    <row r="25" spans="1:42" ht="12.75">
      <c r="A25" s="4" t="s">
        <v>13</v>
      </c>
      <c r="B25" s="4"/>
      <c r="C25" s="4" t="s">
        <v>90</v>
      </c>
      <c r="D25" s="4" t="s">
        <v>189</v>
      </c>
      <c r="E25" s="4" t="s">
        <v>297</v>
      </c>
      <c r="F25" s="18">
        <v>31.25</v>
      </c>
      <c r="G25" s="18">
        <v>0</v>
      </c>
      <c r="H25" s="18">
        <f>ROUND(F25*AD25,2)</f>
        <v>0</v>
      </c>
      <c r="I25" s="18">
        <f>J25-H25</f>
        <v>0</v>
      </c>
      <c r="J25" s="18">
        <f>ROUND(F25*G25,2)</f>
        <v>0</v>
      </c>
      <c r="K25" s="18">
        <v>0.0001</v>
      </c>
      <c r="L25" s="18">
        <f>F25*K25</f>
        <v>0.003125</v>
      </c>
      <c r="M25" s="28" t="s">
        <v>7</v>
      </c>
      <c r="N25" s="18">
        <f>IF(M25="5",I25,0)</f>
        <v>0</v>
      </c>
      <c r="Y25" s="18">
        <f>IF(AC25=0,J25,0)</f>
        <v>0</v>
      </c>
      <c r="Z25" s="18">
        <f>IF(AC25=15,J25,0)</f>
        <v>0</v>
      </c>
      <c r="AA25" s="18">
        <f>IF(AC25=21,J25,0)</f>
        <v>0</v>
      </c>
      <c r="AC25" s="32">
        <v>21</v>
      </c>
      <c r="AD25" s="32">
        <f>G25*0.285533118720125</f>
        <v>0</v>
      </c>
      <c r="AE25" s="32">
        <f>G25*(1-0.285533118720125)</f>
        <v>0</v>
      </c>
      <c r="AL25" s="32">
        <f>F25*AD25</f>
        <v>0</v>
      </c>
      <c r="AM25" s="32">
        <f>F25*AE25</f>
        <v>0</v>
      </c>
      <c r="AN25" s="33" t="s">
        <v>332</v>
      </c>
      <c r="AO25" s="33" t="s">
        <v>353</v>
      </c>
      <c r="AP25" s="27" t="s">
        <v>358</v>
      </c>
    </row>
    <row r="26" spans="1:36" ht="12.75">
      <c r="A26" s="5"/>
      <c r="B26" s="13"/>
      <c r="C26" s="13" t="s">
        <v>70</v>
      </c>
      <c r="D26" s="119" t="s">
        <v>190</v>
      </c>
      <c r="E26" s="120"/>
      <c r="F26" s="120"/>
      <c r="G26" s="120"/>
      <c r="H26" s="35">
        <f>SUM(H27:H29)</f>
        <v>0</v>
      </c>
      <c r="I26" s="35">
        <f>SUM(I27:I29)</f>
        <v>0</v>
      </c>
      <c r="J26" s="35">
        <f>H26+I26</f>
        <v>0</v>
      </c>
      <c r="K26" s="27"/>
      <c r="L26" s="35">
        <f>SUM(L27:L29)</f>
        <v>0.4699</v>
      </c>
      <c r="O26" s="35">
        <f>IF(P26="PR",J26,SUM(N27:N29))</f>
        <v>0</v>
      </c>
      <c r="P26" s="27" t="s">
        <v>321</v>
      </c>
      <c r="Q26" s="35">
        <f>IF(P26="HS",H26,0)</f>
        <v>0</v>
      </c>
      <c r="R26" s="35">
        <f>IF(P26="HS",I26-O26,0)</f>
        <v>0</v>
      </c>
      <c r="S26" s="35">
        <f>IF(P26="PS",H26,0)</f>
        <v>0</v>
      </c>
      <c r="T26" s="35">
        <f>IF(P26="PS",I26-O26,0)</f>
        <v>0</v>
      </c>
      <c r="U26" s="35">
        <f>IF(P26="MP",H26,0)</f>
        <v>0</v>
      </c>
      <c r="V26" s="35">
        <f>IF(P26="MP",I26-O26,0)</f>
        <v>0</v>
      </c>
      <c r="W26" s="35">
        <f>IF(P26="OM",H26,0)</f>
        <v>0</v>
      </c>
      <c r="X26" s="27"/>
      <c r="AH26" s="35">
        <f>SUM(Y27:Y29)</f>
        <v>0</v>
      </c>
      <c r="AI26" s="35">
        <f>SUM(Z27:Z29)</f>
        <v>0</v>
      </c>
      <c r="AJ26" s="35">
        <f>SUM(AA27:AA29)</f>
        <v>0</v>
      </c>
    </row>
    <row r="27" spans="1:42" ht="12.75">
      <c r="A27" s="4" t="s">
        <v>14</v>
      </c>
      <c r="B27" s="4"/>
      <c r="C27" s="4" t="s">
        <v>91</v>
      </c>
      <c r="D27" s="4" t="s">
        <v>191</v>
      </c>
      <c r="E27" s="4" t="s">
        <v>298</v>
      </c>
      <c r="F27" s="18">
        <v>1</v>
      </c>
      <c r="G27" s="18">
        <v>0</v>
      </c>
      <c r="H27" s="18">
        <f>ROUND(F27*AD27,2)</f>
        <v>0</v>
      </c>
      <c r="I27" s="18">
        <f>J27-H27</f>
        <v>0</v>
      </c>
      <c r="J27" s="18">
        <f>ROUND(F27*G27,2)</f>
        <v>0</v>
      </c>
      <c r="K27" s="18">
        <v>0.4149</v>
      </c>
      <c r="L27" s="18">
        <f>F27*K27</f>
        <v>0.4149</v>
      </c>
      <c r="M27" s="28" t="s">
        <v>9</v>
      </c>
      <c r="N27" s="18">
        <f>IF(M27="5",I27,0)</f>
        <v>0</v>
      </c>
      <c r="Y27" s="18">
        <f>IF(AC27=0,J27,0)</f>
        <v>0</v>
      </c>
      <c r="Z27" s="18">
        <f>IF(AC27=15,J27,0)</f>
        <v>0</v>
      </c>
      <c r="AA27" s="18">
        <f>IF(AC27=21,J27,0)</f>
        <v>0</v>
      </c>
      <c r="AC27" s="32">
        <v>21</v>
      </c>
      <c r="AD27" s="32">
        <f>G27*0.582367593712213</f>
        <v>0</v>
      </c>
      <c r="AE27" s="32">
        <f>G27*(1-0.582367593712213)</f>
        <v>0</v>
      </c>
      <c r="AL27" s="32">
        <f>F27*AD27</f>
        <v>0</v>
      </c>
      <c r="AM27" s="32">
        <f>F27*AE27</f>
        <v>0</v>
      </c>
      <c r="AN27" s="33" t="s">
        <v>333</v>
      </c>
      <c r="AO27" s="33" t="s">
        <v>353</v>
      </c>
      <c r="AP27" s="27" t="s">
        <v>358</v>
      </c>
    </row>
    <row r="28" ht="25.5">
      <c r="D28" s="15" t="s">
        <v>192</v>
      </c>
    </row>
    <row r="29" spans="1:42" ht="12.75">
      <c r="A29" s="6" t="s">
        <v>15</v>
      </c>
      <c r="B29" s="6"/>
      <c r="C29" s="6" t="s">
        <v>92</v>
      </c>
      <c r="D29" s="6" t="s">
        <v>193</v>
      </c>
      <c r="E29" s="6" t="s">
        <v>298</v>
      </c>
      <c r="F29" s="19">
        <v>1</v>
      </c>
      <c r="G29" s="19">
        <v>0</v>
      </c>
      <c r="H29" s="19">
        <f>ROUND(F29*AD29,2)</f>
        <v>0</v>
      </c>
      <c r="I29" s="19">
        <f>J29-H29</f>
        <v>0</v>
      </c>
      <c r="J29" s="19">
        <f>ROUND(F29*G29,2)</f>
        <v>0</v>
      </c>
      <c r="K29" s="19">
        <v>0.055</v>
      </c>
      <c r="L29" s="19">
        <f>F29*K29</f>
        <v>0.055</v>
      </c>
      <c r="M29" s="29" t="s">
        <v>318</v>
      </c>
      <c r="N29" s="19">
        <f>IF(M29="5",I29,0)</f>
        <v>0</v>
      </c>
      <c r="Y29" s="19">
        <f>IF(AC29=0,J29,0)</f>
        <v>0</v>
      </c>
      <c r="Z29" s="19">
        <f>IF(AC29=15,J29,0)</f>
        <v>0</v>
      </c>
      <c r="AA29" s="19">
        <f>IF(AC29=21,J29,0)</f>
        <v>0</v>
      </c>
      <c r="AC29" s="32">
        <v>21</v>
      </c>
      <c r="AD29" s="32">
        <f>G29*1</f>
        <v>0</v>
      </c>
      <c r="AE29" s="32">
        <f>G29*(1-1)</f>
        <v>0</v>
      </c>
      <c r="AL29" s="32">
        <f>F29*AD29</f>
        <v>0</v>
      </c>
      <c r="AM29" s="32">
        <f>F29*AE29</f>
        <v>0</v>
      </c>
      <c r="AN29" s="33" t="s">
        <v>333</v>
      </c>
      <c r="AO29" s="33" t="s">
        <v>353</v>
      </c>
      <c r="AP29" s="27" t="s">
        <v>358</v>
      </c>
    </row>
    <row r="30" spans="1:36" ht="12.75">
      <c r="A30" s="5"/>
      <c r="B30" s="13"/>
      <c r="C30" s="13" t="s">
        <v>93</v>
      </c>
      <c r="D30" s="119" t="s">
        <v>194</v>
      </c>
      <c r="E30" s="120"/>
      <c r="F30" s="120"/>
      <c r="G30" s="120"/>
      <c r="H30" s="35">
        <f>SUM(H31:H42)</f>
        <v>0</v>
      </c>
      <c r="I30" s="35">
        <f>SUM(I31:I42)</f>
        <v>0</v>
      </c>
      <c r="J30" s="35">
        <f>H30+I30</f>
        <v>0</v>
      </c>
      <c r="K30" s="27"/>
      <c r="L30" s="35">
        <f>SUM(L31:L42)</f>
        <v>4.432355800000002</v>
      </c>
      <c r="O30" s="35">
        <f>IF(P30="PR",J30,SUM(N31:N42))</f>
        <v>0</v>
      </c>
      <c r="P30" s="27" t="s">
        <v>322</v>
      </c>
      <c r="Q30" s="35">
        <f>IF(P30="HS",H30,0)</f>
        <v>0</v>
      </c>
      <c r="R30" s="35">
        <f>IF(P30="HS",I30-O30,0)</f>
        <v>0</v>
      </c>
      <c r="S30" s="35">
        <f>IF(P30="PS",H30,0)</f>
        <v>0</v>
      </c>
      <c r="T30" s="35">
        <f>IF(P30="PS",I30-O30,0)</f>
        <v>0</v>
      </c>
      <c r="U30" s="35">
        <f>IF(P30="MP",H30,0)</f>
        <v>0</v>
      </c>
      <c r="V30" s="35">
        <f>IF(P30="MP",I30-O30,0)</f>
        <v>0</v>
      </c>
      <c r="W30" s="35">
        <f>IF(P30="OM",H30,0)</f>
        <v>0</v>
      </c>
      <c r="X30" s="27"/>
      <c r="AH30" s="35">
        <f>SUM(Y31:Y42)</f>
        <v>0</v>
      </c>
      <c r="AI30" s="35">
        <f>SUM(Z31:Z42)</f>
        <v>0</v>
      </c>
      <c r="AJ30" s="35">
        <f>SUM(AA31:AA42)</f>
        <v>0</v>
      </c>
    </row>
    <row r="31" spans="1:42" ht="12.75">
      <c r="A31" s="4" t="s">
        <v>16</v>
      </c>
      <c r="B31" s="4"/>
      <c r="C31" s="4" t="s">
        <v>94</v>
      </c>
      <c r="D31" s="4" t="s">
        <v>195</v>
      </c>
      <c r="E31" s="4" t="s">
        <v>295</v>
      </c>
      <c r="F31" s="18">
        <v>187.22</v>
      </c>
      <c r="G31" s="18">
        <v>0</v>
      </c>
      <c r="H31" s="18">
        <f>ROUND(F31*AD31,2)</f>
        <v>0</v>
      </c>
      <c r="I31" s="18">
        <f>J31-H31</f>
        <v>0</v>
      </c>
      <c r="J31" s="18">
        <f>ROUND(F31*G31,2)</f>
        <v>0</v>
      </c>
      <c r="K31" s="18">
        <v>0.014</v>
      </c>
      <c r="L31" s="18">
        <f>F31*K31</f>
        <v>2.62108</v>
      </c>
      <c r="M31" s="28" t="s">
        <v>7</v>
      </c>
      <c r="N31" s="18">
        <f>IF(M31="5",I31,0)</f>
        <v>0</v>
      </c>
      <c r="Y31" s="18">
        <f>IF(AC31=0,J31,0)</f>
        <v>0</v>
      </c>
      <c r="Z31" s="18">
        <f>IF(AC31=15,J31,0)</f>
        <v>0</v>
      </c>
      <c r="AA31" s="18">
        <f>IF(AC31=21,J31,0)</f>
        <v>0</v>
      </c>
      <c r="AC31" s="32">
        <v>21</v>
      </c>
      <c r="AD31" s="32">
        <f>G31*0</f>
        <v>0</v>
      </c>
      <c r="AE31" s="32">
        <f>G31*(1-0)</f>
        <v>0</v>
      </c>
      <c r="AL31" s="32">
        <f>F31*AD31</f>
        <v>0</v>
      </c>
      <c r="AM31" s="32">
        <f>F31*AE31</f>
        <v>0</v>
      </c>
      <c r="AN31" s="33" t="s">
        <v>334</v>
      </c>
      <c r="AO31" s="33" t="s">
        <v>354</v>
      </c>
      <c r="AP31" s="27" t="s">
        <v>358</v>
      </c>
    </row>
    <row r="32" spans="1:42" ht="12.75">
      <c r="A32" s="4" t="s">
        <v>17</v>
      </c>
      <c r="B32" s="4"/>
      <c r="C32" s="4" t="s">
        <v>95</v>
      </c>
      <c r="D32" s="4" t="s">
        <v>196</v>
      </c>
      <c r="E32" s="4" t="s">
        <v>295</v>
      </c>
      <c r="F32" s="18">
        <v>197.8</v>
      </c>
      <c r="G32" s="18">
        <v>0</v>
      </c>
      <c r="H32" s="18">
        <f>ROUND(F32*AD32,2)</f>
        <v>0</v>
      </c>
      <c r="I32" s="18">
        <f>J32-H32</f>
        <v>0</v>
      </c>
      <c r="J32" s="18">
        <f>ROUND(F32*G32,2)</f>
        <v>0</v>
      </c>
      <c r="K32" s="18">
        <v>0.00083</v>
      </c>
      <c r="L32" s="18">
        <f>F32*K32</f>
        <v>0.16417400000000001</v>
      </c>
      <c r="M32" s="28" t="s">
        <v>7</v>
      </c>
      <c r="N32" s="18">
        <f>IF(M32="5",I32,0)</f>
        <v>0</v>
      </c>
      <c r="Y32" s="18">
        <f>IF(AC32=0,J32,0)</f>
        <v>0</v>
      </c>
      <c r="Z32" s="18">
        <f>IF(AC32=15,J32,0)</f>
        <v>0</v>
      </c>
      <c r="AA32" s="18">
        <f>IF(AC32=21,J32,0)</f>
        <v>0</v>
      </c>
      <c r="AC32" s="32">
        <v>21</v>
      </c>
      <c r="AD32" s="32">
        <f>G32*0.646909090909091</f>
        <v>0</v>
      </c>
      <c r="AE32" s="32">
        <f>G32*(1-0.646909090909091)</f>
        <v>0</v>
      </c>
      <c r="AL32" s="32">
        <f>F32*AD32</f>
        <v>0</v>
      </c>
      <c r="AM32" s="32">
        <f>F32*AE32</f>
        <v>0</v>
      </c>
      <c r="AN32" s="33" t="s">
        <v>334</v>
      </c>
      <c r="AO32" s="33" t="s">
        <v>354</v>
      </c>
      <c r="AP32" s="27" t="s">
        <v>358</v>
      </c>
    </row>
    <row r="33" ht="12.75">
      <c r="D33" s="15" t="s">
        <v>197</v>
      </c>
    </row>
    <row r="34" spans="1:42" ht="12.75">
      <c r="A34" s="4" t="s">
        <v>18</v>
      </c>
      <c r="B34" s="4"/>
      <c r="C34" s="4" t="s">
        <v>96</v>
      </c>
      <c r="D34" s="4" t="s">
        <v>198</v>
      </c>
      <c r="E34" s="4" t="s">
        <v>295</v>
      </c>
      <c r="F34" s="18">
        <v>197.8</v>
      </c>
      <c r="G34" s="18">
        <v>0</v>
      </c>
      <c r="H34" s="18">
        <f>ROUND(F34*AD34,2)</f>
        <v>0</v>
      </c>
      <c r="I34" s="18">
        <f>J34-H34</f>
        <v>0</v>
      </c>
      <c r="J34" s="18">
        <f>ROUND(F34*G34,2)</f>
        <v>0</v>
      </c>
      <c r="K34" s="18">
        <v>0.00035</v>
      </c>
      <c r="L34" s="18">
        <f>F34*K34</f>
        <v>0.06923</v>
      </c>
      <c r="M34" s="28" t="s">
        <v>7</v>
      </c>
      <c r="N34" s="18">
        <f>IF(M34="5",I34,0)</f>
        <v>0</v>
      </c>
      <c r="Y34" s="18">
        <f>IF(AC34=0,J34,0)</f>
        <v>0</v>
      </c>
      <c r="Z34" s="18">
        <f>IF(AC34=15,J34,0)</f>
        <v>0</v>
      </c>
      <c r="AA34" s="18">
        <f>IF(AC34=21,J34,0)</f>
        <v>0</v>
      </c>
      <c r="AC34" s="32">
        <v>21</v>
      </c>
      <c r="AD34" s="32">
        <f>G34*0.135222672064777</f>
        <v>0</v>
      </c>
      <c r="AE34" s="32">
        <f>G34*(1-0.135222672064777)</f>
        <v>0</v>
      </c>
      <c r="AL34" s="32">
        <f>F34*AD34</f>
        <v>0</v>
      </c>
      <c r="AM34" s="32">
        <f>F34*AE34</f>
        <v>0</v>
      </c>
      <c r="AN34" s="33" t="s">
        <v>334</v>
      </c>
      <c r="AO34" s="33" t="s">
        <v>354</v>
      </c>
      <c r="AP34" s="27" t="s">
        <v>358</v>
      </c>
    </row>
    <row r="35" ht="12.75">
      <c r="D35" s="15" t="s">
        <v>199</v>
      </c>
    </row>
    <row r="36" spans="1:42" ht="12.75">
      <c r="A36" s="6" t="s">
        <v>19</v>
      </c>
      <c r="B36" s="6"/>
      <c r="C36" s="6" t="s">
        <v>97</v>
      </c>
      <c r="D36" s="6" t="s">
        <v>200</v>
      </c>
      <c r="E36" s="6" t="s">
        <v>295</v>
      </c>
      <c r="F36" s="19">
        <v>225.49</v>
      </c>
      <c r="G36" s="19">
        <v>0</v>
      </c>
      <c r="H36" s="19">
        <f>ROUND(F36*AD36,2)</f>
        <v>0</v>
      </c>
      <c r="I36" s="19">
        <f>J36-H36</f>
        <v>0</v>
      </c>
      <c r="J36" s="19">
        <f>ROUND(F36*G36,2)</f>
        <v>0</v>
      </c>
      <c r="K36" s="19">
        <v>0.0045</v>
      </c>
      <c r="L36" s="19">
        <f>F36*K36</f>
        <v>1.014705</v>
      </c>
      <c r="M36" s="29" t="s">
        <v>318</v>
      </c>
      <c r="N36" s="19">
        <f>IF(M36="5",I36,0)</f>
        <v>0</v>
      </c>
      <c r="Y36" s="19">
        <f>IF(AC36=0,J36,0)</f>
        <v>0</v>
      </c>
      <c r="Z36" s="19">
        <f>IF(AC36=15,J36,0)</f>
        <v>0</v>
      </c>
      <c r="AA36" s="19">
        <f>IF(AC36=21,J36,0)</f>
        <v>0</v>
      </c>
      <c r="AC36" s="32">
        <v>21</v>
      </c>
      <c r="AD36" s="32">
        <f>G36*1</f>
        <v>0</v>
      </c>
      <c r="AE36" s="32">
        <f>G36*(1-1)</f>
        <v>0</v>
      </c>
      <c r="AL36" s="32">
        <f>F36*AD36</f>
        <v>0</v>
      </c>
      <c r="AM36" s="32">
        <f>F36*AE36</f>
        <v>0</v>
      </c>
      <c r="AN36" s="33" t="s">
        <v>334</v>
      </c>
      <c r="AO36" s="33" t="s">
        <v>354</v>
      </c>
      <c r="AP36" s="27" t="s">
        <v>358</v>
      </c>
    </row>
    <row r="37" spans="1:42" ht="12.75">
      <c r="A37" s="4" t="s">
        <v>20</v>
      </c>
      <c r="B37" s="4"/>
      <c r="C37" s="4" t="s">
        <v>98</v>
      </c>
      <c r="D37" s="4" t="s">
        <v>201</v>
      </c>
      <c r="E37" s="4" t="s">
        <v>295</v>
      </c>
      <c r="F37" s="18">
        <v>184.06</v>
      </c>
      <c r="G37" s="18">
        <v>0</v>
      </c>
      <c r="H37" s="18">
        <f>ROUND(F37*AD37,2)</f>
        <v>0</v>
      </c>
      <c r="I37" s="18">
        <f>J37-H37</f>
        <v>0</v>
      </c>
      <c r="J37" s="18">
        <f>ROUND(F37*G37,2)</f>
        <v>0</v>
      </c>
      <c r="K37" s="18">
        <v>0</v>
      </c>
      <c r="L37" s="18">
        <f>F37*K37</f>
        <v>0</v>
      </c>
      <c r="M37" s="28" t="s">
        <v>7</v>
      </c>
      <c r="N37" s="18">
        <f>IF(M37="5",I37,0)</f>
        <v>0</v>
      </c>
      <c r="Y37" s="18">
        <f>IF(AC37=0,J37,0)</f>
        <v>0</v>
      </c>
      <c r="Z37" s="18">
        <f>IF(AC37=15,J37,0)</f>
        <v>0</v>
      </c>
      <c r="AA37" s="18">
        <f>IF(AC37=21,J37,0)</f>
        <v>0</v>
      </c>
      <c r="AC37" s="32">
        <v>21</v>
      </c>
      <c r="AD37" s="32">
        <f>G37*0.303612750885478</f>
        <v>0</v>
      </c>
      <c r="AE37" s="32">
        <f>G37*(1-0.303612750885478)</f>
        <v>0</v>
      </c>
      <c r="AL37" s="32">
        <f>F37*AD37</f>
        <v>0</v>
      </c>
      <c r="AM37" s="32">
        <f>F37*AE37</f>
        <v>0</v>
      </c>
      <c r="AN37" s="33" t="s">
        <v>334</v>
      </c>
      <c r="AO37" s="33" t="s">
        <v>354</v>
      </c>
      <c r="AP37" s="27" t="s">
        <v>358</v>
      </c>
    </row>
    <row r="38" ht="38.25">
      <c r="D38" s="15" t="s">
        <v>202</v>
      </c>
    </row>
    <row r="39" spans="1:42" ht="12.75">
      <c r="A39" s="6" t="s">
        <v>21</v>
      </c>
      <c r="B39" s="6"/>
      <c r="C39" s="6" t="s">
        <v>99</v>
      </c>
      <c r="D39" s="6" t="s">
        <v>203</v>
      </c>
      <c r="E39" s="6" t="s">
        <v>295</v>
      </c>
      <c r="F39" s="19">
        <v>198.78</v>
      </c>
      <c r="G39" s="19">
        <v>0</v>
      </c>
      <c r="H39" s="19">
        <f>ROUND(F39*AD39,2)</f>
        <v>0</v>
      </c>
      <c r="I39" s="19">
        <f>J39-H39</f>
        <v>0</v>
      </c>
      <c r="J39" s="19">
        <f>ROUND(F39*G39,2)</f>
        <v>0</v>
      </c>
      <c r="K39" s="19">
        <v>0.0026</v>
      </c>
      <c r="L39" s="19">
        <f>F39*K39</f>
        <v>0.516828</v>
      </c>
      <c r="M39" s="29" t="s">
        <v>318</v>
      </c>
      <c r="N39" s="19">
        <f>IF(M39="5",I39,0)</f>
        <v>0</v>
      </c>
      <c r="Y39" s="19">
        <f>IF(AC39=0,J39,0)</f>
        <v>0</v>
      </c>
      <c r="Z39" s="19">
        <f>IF(AC39=15,J39,0)</f>
        <v>0</v>
      </c>
      <c r="AA39" s="19">
        <f>IF(AC39=21,J39,0)</f>
        <v>0</v>
      </c>
      <c r="AC39" s="32">
        <v>21</v>
      </c>
      <c r="AD39" s="32">
        <f>G39*1</f>
        <v>0</v>
      </c>
      <c r="AE39" s="32">
        <f>G39*(1-1)</f>
        <v>0</v>
      </c>
      <c r="AL39" s="32">
        <f>F39*AD39</f>
        <v>0</v>
      </c>
      <c r="AM39" s="32">
        <f>F39*AE39</f>
        <v>0</v>
      </c>
      <c r="AN39" s="33" t="s">
        <v>334</v>
      </c>
      <c r="AO39" s="33" t="s">
        <v>354</v>
      </c>
      <c r="AP39" s="27" t="s">
        <v>358</v>
      </c>
    </row>
    <row r="40" spans="1:42" ht="12.75">
      <c r="A40" s="4" t="s">
        <v>22</v>
      </c>
      <c r="B40" s="4"/>
      <c r="C40" s="4" t="s">
        <v>100</v>
      </c>
      <c r="D40" s="4" t="s">
        <v>204</v>
      </c>
      <c r="E40" s="4" t="s">
        <v>295</v>
      </c>
      <c r="F40" s="18">
        <v>184.06</v>
      </c>
      <c r="G40" s="18">
        <v>0</v>
      </c>
      <c r="H40" s="18">
        <f>ROUND(F40*AD40,2)</f>
        <v>0</v>
      </c>
      <c r="I40" s="18">
        <f>J40-H40</f>
        <v>0</v>
      </c>
      <c r="J40" s="18">
        <f>ROUND(F40*G40,2)</f>
        <v>0</v>
      </c>
      <c r="K40" s="18">
        <v>3E-05</v>
      </c>
      <c r="L40" s="18">
        <f>F40*K40</f>
        <v>0.0055218</v>
      </c>
      <c r="M40" s="28" t="s">
        <v>7</v>
      </c>
      <c r="N40" s="18">
        <f>IF(M40="5",I40,0)</f>
        <v>0</v>
      </c>
      <c r="Y40" s="18">
        <f>IF(AC40=0,J40,0)</f>
        <v>0</v>
      </c>
      <c r="Z40" s="18">
        <f>IF(AC40=15,J40,0)</f>
        <v>0</v>
      </c>
      <c r="AA40" s="18">
        <f>IF(AC40=21,J40,0)</f>
        <v>0</v>
      </c>
      <c r="AC40" s="32">
        <v>21</v>
      </c>
      <c r="AD40" s="32">
        <f>G40*0.0952038369304556</f>
        <v>0</v>
      </c>
      <c r="AE40" s="32">
        <f>G40*(1-0.0952038369304556)</f>
        <v>0</v>
      </c>
      <c r="AL40" s="32">
        <f>F40*AD40</f>
        <v>0</v>
      </c>
      <c r="AM40" s="32">
        <f>F40*AE40</f>
        <v>0</v>
      </c>
      <c r="AN40" s="33" t="s">
        <v>334</v>
      </c>
      <c r="AO40" s="33" t="s">
        <v>354</v>
      </c>
      <c r="AP40" s="27" t="s">
        <v>358</v>
      </c>
    </row>
    <row r="41" spans="1:42" ht="12.75">
      <c r="A41" s="6" t="s">
        <v>23</v>
      </c>
      <c r="B41" s="6"/>
      <c r="C41" s="6" t="s">
        <v>101</v>
      </c>
      <c r="D41" s="6" t="s">
        <v>205</v>
      </c>
      <c r="E41" s="6" t="s">
        <v>295</v>
      </c>
      <c r="F41" s="19">
        <v>198.78</v>
      </c>
      <c r="G41" s="19">
        <v>0</v>
      </c>
      <c r="H41" s="19">
        <f>ROUND(F41*AD41,2)</f>
        <v>0</v>
      </c>
      <c r="I41" s="19">
        <f>J41-H41</f>
        <v>0</v>
      </c>
      <c r="J41" s="19">
        <f>ROUND(F41*G41,2)</f>
        <v>0</v>
      </c>
      <c r="K41" s="19">
        <v>0.00015</v>
      </c>
      <c r="L41" s="19">
        <f>F41*K41</f>
        <v>0.029816999999999996</v>
      </c>
      <c r="M41" s="29" t="s">
        <v>318</v>
      </c>
      <c r="N41" s="19">
        <f>IF(M41="5",I41,0)</f>
        <v>0</v>
      </c>
      <c r="Y41" s="19">
        <f>IF(AC41=0,J41,0)</f>
        <v>0</v>
      </c>
      <c r="Z41" s="19">
        <f>IF(AC41=15,J41,0)</f>
        <v>0</v>
      </c>
      <c r="AA41" s="19">
        <f>IF(AC41=21,J41,0)</f>
        <v>0</v>
      </c>
      <c r="AC41" s="32">
        <v>21</v>
      </c>
      <c r="AD41" s="32">
        <f>G41*1</f>
        <v>0</v>
      </c>
      <c r="AE41" s="32">
        <f>G41*(1-1)</f>
        <v>0</v>
      </c>
      <c r="AL41" s="32">
        <f>F41*AD41</f>
        <v>0</v>
      </c>
      <c r="AM41" s="32">
        <f>F41*AE41</f>
        <v>0</v>
      </c>
      <c r="AN41" s="33" t="s">
        <v>334</v>
      </c>
      <c r="AO41" s="33" t="s">
        <v>354</v>
      </c>
      <c r="AP41" s="27" t="s">
        <v>358</v>
      </c>
    </row>
    <row r="42" spans="1:42" ht="12.75">
      <c r="A42" s="4" t="s">
        <v>24</v>
      </c>
      <c r="B42" s="4"/>
      <c r="C42" s="4" t="s">
        <v>102</v>
      </c>
      <c r="D42" s="4" t="s">
        <v>206</v>
      </c>
      <c r="E42" s="4" t="s">
        <v>298</v>
      </c>
      <c r="F42" s="18">
        <v>11</v>
      </c>
      <c r="G42" s="18">
        <v>0</v>
      </c>
      <c r="H42" s="18">
        <f>ROUND(F42*AD42,2)</f>
        <v>0</v>
      </c>
      <c r="I42" s="18">
        <f>J42-H42</f>
        <v>0</v>
      </c>
      <c r="J42" s="18">
        <f>ROUND(F42*G42,2)</f>
        <v>0</v>
      </c>
      <c r="K42" s="18">
        <v>0.001</v>
      </c>
      <c r="L42" s="18">
        <f>F42*K42</f>
        <v>0.011</v>
      </c>
      <c r="M42" s="28" t="s">
        <v>7</v>
      </c>
      <c r="N42" s="18">
        <f>IF(M42="5",I42,0)</f>
        <v>0</v>
      </c>
      <c r="Y42" s="18">
        <f>IF(AC42=0,J42,0)</f>
        <v>0</v>
      </c>
      <c r="Z42" s="18">
        <f>IF(AC42=15,J42,0)</f>
        <v>0</v>
      </c>
      <c r="AA42" s="18">
        <f>IF(AC42=21,J42,0)</f>
        <v>0</v>
      </c>
      <c r="AC42" s="32">
        <v>21</v>
      </c>
      <c r="AD42" s="32">
        <f>G42*0.592905131513088</f>
        <v>0</v>
      </c>
      <c r="AE42" s="32">
        <f>G42*(1-0.592905131513088)</f>
        <v>0</v>
      </c>
      <c r="AL42" s="32">
        <f>F42*AD42</f>
        <v>0</v>
      </c>
      <c r="AM42" s="32">
        <f>F42*AE42</f>
        <v>0</v>
      </c>
      <c r="AN42" s="33" t="s">
        <v>334</v>
      </c>
      <c r="AO42" s="33" t="s">
        <v>354</v>
      </c>
      <c r="AP42" s="27" t="s">
        <v>358</v>
      </c>
    </row>
    <row r="43" ht="12.75">
      <c r="D43" s="15" t="s">
        <v>207</v>
      </c>
    </row>
    <row r="44" spans="1:36" ht="12.75">
      <c r="A44" s="5"/>
      <c r="B44" s="13"/>
      <c r="C44" s="13" t="s">
        <v>103</v>
      </c>
      <c r="D44" s="119" t="s">
        <v>208</v>
      </c>
      <c r="E44" s="120"/>
      <c r="F44" s="120"/>
      <c r="G44" s="120"/>
      <c r="H44" s="35">
        <f>SUM(H45:H51)</f>
        <v>0</v>
      </c>
      <c r="I44" s="35">
        <f>SUM(I45:I51)</f>
        <v>0</v>
      </c>
      <c r="J44" s="35">
        <f>H44+I44</f>
        <v>0</v>
      </c>
      <c r="K44" s="27"/>
      <c r="L44" s="35">
        <f>SUM(L45:L51)</f>
        <v>2.656506</v>
      </c>
      <c r="O44" s="35">
        <f>IF(P44="PR",J44,SUM(N45:N51))</f>
        <v>0</v>
      </c>
      <c r="P44" s="27" t="s">
        <v>322</v>
      </c>
      <c r="Q44" s="35">
        <f>IF(P44="HS",H44,0)</f>
        <v>0</v>
      </c>
      <c r="R44" s="35">
        <f>IF(P44="HS",I44-O44,0)</f>
        <v>0</v>
      </c>
      <c r="S44" s="35">
        <f>IF(P44="PS",H44,0)</f>
        <v>0</v>
      </c>
      <c r="T44" s="35">
        <f>IF(P44="PS",I44-O44,0)</f>
        <v>0</v>
      </c>
      <c r="U44" s="35">
        <f>IF(P44="MP",H44,0)</f>
        <v>0</v>
      </c>
      <c r="V44" s="35">
        <f>IF(P44="MP",I44-O44,0)</f>
        <v>0</v>
      </c>
      <c r="W44" s="35">
        <f>IF(P44="OM",H44,0)</f>
        <v>0</v>
      </c>
      <c r="X44" s="27"/>
      <c r="AH44" s="35">
        <f>SUM(Y45:Y51)</f>
        <v>0</v>
      </c>
      <c r="AI44" s="35">
        <f>SUM(Z45:Z51)</f>
        <v>0</v>
      </c>
      <c r="AJ44" s="35">
        <f>SUM(AA45:AA51)</f>
        <v>0</v>
      </c>
    </row>
    <row r="45" spans="1:42" ht="12.75">
      <c r="A45" s="4" t="s">
        <v>25</v>
      </c>
      <c r="B45" s="4"/>
      <c r="C45" s="4" t="s">
        <v>104</v>
      </c>
      <c r="D45" s="4" t="s">
        <v>209</v>
      </c>
      <c r="E45" s="4" t="s">
        <v>295</v>
      </c>
      <c r="F45" s="18">
        <v>157.67</v>
      </c>
      <c r="G45" s="18">
        <v>0</v>
      </c>
      <c r="H45" s="18">
        <f aca="true" t="shared" si="0" ref="H45:H51">ROUND(F45*AD45,2)</f>
        <v>0</v>
      </c>
      <c r="I45" s="18">
        <f aca="true" t="shared" si="1" ref="I45:I51">J45-H45</f>
        <v>0</v>
      </c>
      <c r="J45" s="18">
        <f aca="true" t="shared" si="2" ref="J45:J51">ROUND(F45*G45,2)</f>
        <v>0</v>
      </c>
      <c r="K45" s="18">
        <v>0.0112</v>
      </c>
      <c r="L45" s="18">
        <f aca="true" t="shared" si="3" ref="L45:L51">F45*K45</f>
        <v>1.765904</v>
      </c>
      <c r="M45" s="28" t="s">
        <v>7</v>
      </c>
      <c r="N45" s="18">
        <f aca="true" t="shared" si="4" ref="N45:N51">IF(M45="5",I45,0)</f>
        <v>0</v>
      </c>
      <c r="Y45" s="18">
        <f aca="true" t="shared" si="5" ref="Y45:Y51">IF(AC45=0,J45,0)</f>
        <v>0</v>
      </c>
      <c r="Z45" s="18">
        <f aca="true" t="shared" si="6" ref="Z45:Z51">IF(AC45=15,J45,0)</f>
        <v>0</v>
      </c>
      <c r="AA45" s="18">
        <f aca="true" t="shared" si="7" ref="AA45:AA51">IF(AC45=21,J45,0)</f>
        <v>0</v>
      </c>
      <c r="AC45" s="32">
        <v>21</v>
      </c>
      <c r="AD45" s="32">
        <f>G45*0</f>
        <v>0</v>
      </c>
      <c r="AE45" s="32">
        <f>G45*(1-0)</f>
        <v>0</v>
      </c>
      <c r="AL45" s="32">
        <f aca="true" t="shared" si="8" ref="AL45:AL51">F45*AD45</f>
        <v>0</v>
      </c>
      <c r="AM45" s="32">
        <f aca="true" t="shared" si="9" ref="AM45:AM51">F45*AE45</f>
        <v>0</v>
      </c>
      <c r="AN45" s="33" t="s">
        <v>335</v>
      </c>
      <c r="AO45" s="33" t="s">
        <v>354</v>
      </c>
      <c r="AP45" s="27" t="s">
        <v>358</v>
      </c>
    </row>
    <row r="46" spans="1:42" ht="12.75">
      <c r="A46" s="4" t="s">
        <v>26</v>
      </c>
      <c r="B46" s="4"/>
      <c r="C46" s="4" t="s">
        <v>105</v>
      </c>
      <c r="D46" s="4" t="s">
        <v>210</v>
      </c>
      <c r="E46" s="4" t="s">
        <v>295</v>
      </c>
      <c r="F46" s="18">
        <v>359.48</v>
      </c>
      <c r="G46" s="18">
        <v>0</v>
      </c>
      <c r="H46" s="18">
        <f t="shared" si="0"/>
        <v>0</v>
      </c>
      <c r="I46" s="18">
        <f t="shared" si="1"/>
        <v>0</v>
      </c>
      <c r="J46" s="18">
        <f t="shared" si="2"/>
        <v>0</v>
      </c>
      <c r="K46" s="18">
        <v>0</v>
      </c>
      <c r="L46" s="18">
        <f t="shared" si="3"/>
        <v>0</v>
      </c>
      <c r="M46" s="28" t="s">
        <v>7</v>
      </c>
      <c r="N46" s="18">
        <f t="shared" si="4"/>
        <v>0</v>
      </c>
      <c r="Y46" s="18">
        <f t="shared" si="5"/>
        <v>0</v>
      </c>
      <c r="Z46" s="18">
        <f t="shared" si="6"/>
        <v>0</v>
      </c>
      <c r="AA46" s="18">
        <f t="shared" si="7"/>
        <v>0</v>
      </c>
      <c r="AC46" s="32">
        <v>21</v>
      </c>
      <c r="AD46" s="32">
        <f>G46*0</f>
        <v>0</v>
      </c>
      <c r="AE46" s="32">
        <f>G46*(1-0)</f>
        <v>0</v>
      </c>
      <c r="AL46" s="32">
        <f t="shared" si="8"/>
        <v>0</v>
      </c>
      <c r="AM46" s="32">
        <f t="shared" si="9"/>
        <v>0</v>
      </c>
      <c r="AN46" s="33" t="s">
        <v>335</v>
      </c>
      <c r="AO46" s="33" t="s">
        <v>354</v>
      </c>
      <c r="AP46" s="27" t="s">
        <v>358</v>
      </c>
    </row>
    <row r="47" spans="1:42" ht="12.75">
      <c r="A47" s="6" t="s">
        <v>27</v>
      </c>
      <c r="B47" s="6"/>
      <c r="C47" s="6" t="s">
        <v>106</v>
      </c>
      <c r="D47" s="6" t="s">
        <v>211</v>
      </c>
      <c r="E47" s="6" t="s">
        <v>295</v>
      </c>
      <c r="F47" s="19">
        <v>151.4</v>
      </c>
      <c r="G47" s="19">
        <v>0</v>
      </c>
      <c r="H47" s="19">
        <f t="shared" si="0"/>
        <v>0</v>
      </c>
      <c r="I47" s="19">
        <f t="shared" si="1"/>
        <v>0</v>
      </c>
      <c r="J47" s="19">
        <f t="shared" si="2"/>
        <v>0</v>
      </c>
      <c r="K47" s="19">
        <v>0.00207</v>
      </c>
      <c r="L47" s="19">
        <f t="shared" si="3"/>
        <v>0.31339799999999995</v>
      </c>
      <c r="M47" s="29" t="s">
        <v>318</v>
      </c>
      <c r="N47" s="19">
        <f t="shared" si="4"/>
        <v>0</v>
      </c>
      <c r="Y47" s="19">
        <f t="shared" si="5"/>
        <v>0</v>
      </c>
      <c r="Z47" s="19">
        <f t="shared" si="6"/>
        <v>0</v>
      </c>
      <c r="AA47" s="19">
        <f t="shared" si="7"/>
        <v>0</v>
      </c>
      <c r="AC47" s="32">
        <v>21</v>
      </c>
      <c r="AD47" s="32">
        <f>G47*1</f>
        <v>0</v>
      </c>
      <c r="AE47" s="32">
        <f>G47*(1-1)</f>
        <v>0</v>
      </c>
      <c r="AL47" s="32">
        <f t="shared" si="8"/>
        <v>0</v>
      </c>
      <c r="AM47" s="32">
        <f t="shared" si="9"/>
        <v>0</v>
      </c>
      <c r="AN47" s="33" t="s">
        <v>335</v>
      </c>
      <c r="AO47" s="33" t="s">
        <v>354</v>
      </c>
      <c r="AP47" s="27" t="s">
        <v>358</v>
      </c>
    </row>
    <row r="48" spans="1:42" ht="12.75">
      <c r="A48" s="6" t="s">
        <v>28</v>
      </c>
      <c r="B48" s="6"/>
      <c r="C48" s="6" t="s">
        <v>107</v>
      </c>
      <c r="D48" s="6" t="s">
        <v>212</v>
      </c>
      <c r="E48" s="6" t="s">
        <v>295</v>
      </c>
      <c r="F48" s="19">
        <v>151.4</v>
      </c>
      <c r="G48" s="19">
        <v>0</v>
      </c>
      <c r="H48" s="19">
        <f t="shared" si="0"/>
        <v>0</v>
      </c>
      <c r="I48" s="19">
        <f t="shared" si="1"/>
        <v>0</v>
      </c>
      <c r="J48" s="19">
        <f t="shared" si="2"/>
        <v>0</v>
      </c>
      <c r="K48" s="19">
        <v>0.00184</v>
      </c>
      <c r="L48" s="19">
        <f t="shared" si="3"/>
        <v>0.27857600000000005</v>
      </c>
      <c r="M48" s="29" t="s">
        <v>318</v>
      </c>
      <c r="N48" s="19">
        <f t="shared" si="4"/>
        <v>0</v>
      </c>
      <c r="Y48" s="19">
        <f t="shared" si="5"/>
        <v>0</v>
      </c>
      <c r="Z48" s="19">
        <f t="shared" si="6"/>
        <v>0</v>
      </c>
      <c r="AA48" s="19">
        <f t="shared" si="7"/>
        <v>0</v>
      </c>
      <c r="AC48" s="32">
        <v>21</v>
      </c>
      <c r="AD48" s="32">
        <f>G48*1</f>
        <v>0</v>
      </c>
      <c r="AE48" s="32">
        <f>G48*(1-1)</f>
        <v>0</v>
      </c>
      <c r="AL48" s="32">
        <f t="shared" si="8"/>
        <v>0</v>
      </c>
      <c r="AM48" s="32">
        <f t="shared" si="9"/>
        <v>0</v>
      </c>
      <c r="AN48" s="33" t="s">
        <v>335</v>
      </c>
      <c r="AO48" s="33" t="s">
        <v>354</v>
      </c>
      <c r="AP48" s="27" t="s">
        <v>358</v>
      </c>
    </row>
    <row r="49" spans="1:42" ht="12.75">
      <c r="A49" s="6" t="s">
        <v>29</v>
      </c>
      <c r="B49" s="6"/>
      <c r="C49" s="6" t="s">
        <v>108</v>
      </c>
      <c r="D49" s="6" t="s">
        <v>213</v>
      </c>
      <c r="E49" s="6" t="s">
        <v>295</v>
      </c>
      <c r="F49" s="19">
        <v>8.55</v>
      </c>
      <c r="G49" s="19">
        <v>0</v>
      </c>
      <c r="H49" s="19">
        <f t="shared" si="0"/>
        <v>0</v>
      </c>
      <c r="I49" s="19">
        <f t="shared" si="1"/>
        <v>0</v>
      </c>
      <c r="J49" s="19">
        <f t="shared" si="2"/>
        <v>0</v>
      </c>
      <c r="K49" s="19">
        <v>0.0036</v>
      </c>
      <c r="L49" s="19">
        <f t="shared" si="3"/>
        <v>0.030780000000000002</v>
      </c>
      <c r="M49" s="29" t="s">
        <v>318</v>
      </c>
      <c r="N49" s="19">
        <f t="shared" si="4"/>
        <v>0</v>
      </c>
      <c r="Y49" s="19">
        <f t="shared" si="5"/>
        <v>0</v>
      </c>
      <c r="Z49" s="19">
        <f t="shared" si="6"/>
        <v>0</v>
      </c>
      <c r="AA49" s="19">
        <f t="shared" si="7"/>
        <v>0</v>
      </c>
      <c r="AC49" s="32">
        <v>21</v>
      </c>
      <c r="AD49" s="32">
        <f>G49*1</f>
        <v>0</v>
      </c>
      <c r="AE49" s="32">
        <f>G49*(1-1)</f>
        <v>0</v>
      </c>
      <c r="AL49" s="32">
        <f t="shared" si="8"/>
        <v>0</v>
      </c>
      <c r="AM49" s="32">
        <f t="shared" si="9"/>
        <v>0</v>
      </c>
      <c r="AN49" s="33" t="s">
        <v>335</v>
      </c>
      <c r="AO49" s="33" t="s">
        <v>354</v>
      </c>
      <c r="AP49" s="27" t="s">
        <v>358</v>
      </c>
    </row>
    <row r="50" spans="1:42" ht="12.75">
      <c r="A50" s="6" t="s">
        <v>30</v>
      </c>
      <c r="B50" s="6"/>
      <c r="C50" s="6" t="s">
        <v>109</v>
      </c>
      <c r="D50" s="6" t="s">
        <v>214</v>
      </c>
      <c r="E50" s="6" t="s">
        <v>295</v>
      </c>
      <c r="F50" s="19">
        <v>2.54</v>
      </c>
      <c r="G50" s="19">
        <v>0</v>
      </c>
      <c r="H50" s="19">
        <f t="shared" si="0"/>
        <v>0</v>
      </c>
      <c r="I50" s="19">
        <f t="shared" si="1"/>
        <v>0</v>
      </c>
      <c r="J50" s="19">
        <f t="shared" si="2"/>
        <v>0</v>
      </c>
      <c r="K50" s="19">
        <v>0.0042</v>
      </c>
      <c r="L50" s="19">
        <f t="shared" si="3"/>
        <v>0.010667999999999999</v>
      </c>
      <c r="M50" s="29" t="s">
        <v>318</v>
      </c>
      <c r="N50" s="19">
        <f t="shared" si="4"/>
        <v>0</v>
      </c>
      <c r="Y50" s="19">
        <f t="shared" si="5"/>
        <v>0</v>
      </c>
      <c r="Z50" s="19">
        <f t="shared" si="6"/>
        <v>0</v>
      </c>
      <c r="AA50" s="19">
        <f t="shared" si="7"/>
        <v>0</v>
      </c>
      <c r="AC50" s="32">
        <v>21</v>
      </c>
      <c r="AD50" s="32">
        <f>G50*1</f>
        <v>0</v>
      </c>
      <c r="AE50" s="32">
        <f>G50*(1-1)</f>
        <v>0</v>
      </c>
      <c r="AL50" s="32">
        <f t="shared" si="8"/>
        <v>0</v>
      </c>
      <c r="AM50" s="32">
        <f t="shared" si="9"/>
        <v>0</v>
      </c>
      <c r="AN50" s="33" t="s">
        <v>335</v>
      </c>
      <c r="AO50" s="33" t="s">
        <v>354</v>
      </c>
      <c r="AP50" s="27" t="s">
        <v>358</v>
      </c>
    </row>
    <row r="51" spans="1:42" ht="12.75">
      <c r="A51" s="6" t="s">
        <v>31</v>
      </c>
      <c r="B51" s="6"/>
      <c r="C51" s="6" t="s">
        <v>110</v>
      </c>
      <c r="D51" s="6" t="s">
        <v>215</v>
      </c>
      <c r="E51" s="6" t="s">
        <v>295</v>
      </c>
      <c r="F51" s="19">
        <v>18.37</v>
      </c>
      <c r="G51" s="19">
        <v>0</v>
      </c>
      <c r="H51" s="19">
        <f t="shared" si="0"/>
        <v>0</v>
      </c>
      <c r="I51" s="19">
        <f t="shared" si="1"/>
        <v>0</v>
      </c>
      <c r="J51" s="19">
        <f t="shared" si="2"/>
        <v>0</v>
      </c>
      <c r="K51" s="19">
        <v>0.014</v>
      </c>
      <c r="L51" s="19">
        <f t="shared" si="3"/>
        <v>0.25718</v>
      </c>
      <c r="M51" s="29" t="s">
        <v>318</v>
      </c>
      <c r="N51" s="19">
        <f t="shared" si="4"/>
        <v>0</v>
      </c>
      <c r="Y51" s="19">
        <f t="shared" si="5"/>
        <v>0</v>
      </c>
      <c r="Z51" s="19">
        <f t="shared" si="6"/>
        <v>0</v>
      </c>
      <c r="AA51" s="19">
        <f t="shared" si="7"/>
        <v>0</v>
      </c>
      <c r="AC51" s="32">
        <v>21</v>
      </c>
      <c r="AD51" s="32">
        <f>G51*1</f>
        <v>0</v>
      </c>
      <c r="AE51" s="32">
        <f>G51*(1-1)</f>
        <v>0</v>
      </c>
      <c r="AL51" s="32">
        <f t="shared" si="8"/>
        <v>0</v>
      </c>
      <c r="AM51" s="32">
        <f t="shared" si="9"/>
        <v>0</v>
      </c>
      <c r="AN51" s="33" t="s">
        <v>335</v>
      </c>
      <c r="AO51" s="33" t="s">
        <v>354</v>
      </c>
      <c r="AP51" s="27" t="s">
        <v>358</v>
      </c>
    </row>
    <row r="52" spans="1:36" ht="12.75">
      <c r="A52" s="5"/>
      <c r="B52" s="13"/>
      <c r="C52" s="13" t="s">
        <v>111</v>
      </c>
      <c r="D52" s="119" t="s">
        <v>216</v>
      </c>
      <c r="E52" s="120"/>
      <c r="F52" s="120"/>
      <c r="G52" s="120"/>
      <c r="H52" s="35">
        <f>SUM(H53:H57)</f>
        <v>0</v>
      </c>
      <c r="I52" s="35">
        <f>SUM(I53:I57)</f>
        <v>0</v>
      </c>
      <c r="J52" s="35">
        <f>H52+I52</f>
        <v>0</v>
      </c>
      <c r="K52" s="27"/>
      <c r="L52" s="35">
        <f>SUM(L53:L57)</f>
        <v>0.35819619999999996</v>
      </c>
      <c r="O52" s="35">
        <f>IF(P52="PR",J52,SUM(N53:N57))</f>
        <v>0</v>
      </c>
      <c r="P52" s="27" t="s">
        <v>322</v>
      </c>
      <c r="Q52" s="35">
        <f>IF(P52="HS",H52,0)</f>
        <v>0</v>
      </c>
      <c r="R52" s="35">
        <f>IF(P52="HS",I52-O52,0)</f>
        <v>0</v>
      </c>
      <c r="S52" s="35">
        <f>IF(P52="PS",H52,0)</f>
        <v>0</v>
      </c>
      <c r="T52" s="35">
        <f>IF(P52="PS",I52-O52,0)</f>
        <v>0</v>
      </c>
      <c r="U52" s="35">
        <f>IF(P52="MP",H52,0)</f>
        <v>0</v>
      </c>
      <c r="V52" s="35">
        <f>IF(P52="MP",I52-O52,0)</f>
        <v>0</v>
      </c>
      <c r="W52" s="35">
        <f>IF(P52="OM",H52,0)</f>
        <v>0</v>
      </c>
      <c r="X52" s="27"/>
      <c r="AH52" s="35">
        <f>SUM(Y53:Y57)</f>
        <v>0</v>
      </c>
      <c r="AI52" s="35">
        <f>SUM(Z53:Z57)</f>
        <v>0</v>
      </c>
      <c r="AJ52" s="35">
        <f>SUM(AA53:AA57)</f>
        <v>0</v>
      </c>
    </row>
    <row r="53" spans="1:42" ht="12.75">
      <c r="A53" s="4" t="s">
        <v>32</v>
      </c>
      <c r="B53" s="4"/>
      <c r="C53" s="4" t="s">
        <v>112</v>
      </c>
      <c r="D53" s="4" t="s">
        <v>217</v>
      </c>
      <c r="E53" s="4" t="s">
        <v>295</v>
      </c>
      <c r="F53" s="18">
        <v>7.92</v>
      </c>
      <c r="G53" s="18">
        <v>0</v>
      </c>
      <c r="H53" s="18">
        <f>ROUND(F53*AD53,2)</f>
        <v>0</v>
      </c>
      <c r="I53" s="18">
        <f>J53-H53</f>
        <v>0</v>
      </c>
      <c r="J53" s="18">
        <f>ROUND(F53*G53,2)</f>
        <v>0</v>
      </c>
      <c r="K53" s="18">
        <v>2E-05</v>
      </c>
      <c r="L53" s="18">
        <f>F53*K53</f>
        <v>0.0001584</v>
      </c>
      <c r="M53" s="28" t="s">
        <v>7</v>
      </c>
      <c r="N53" s="18">
        <f>IF(M53="5",I53,0)</f>
        <v>0</v>
      </c>
      <c r="Y53" s="18">
        <f>IF(AC53=0,J53,0)</f>
        <v>0</v>
      </c>
      <c r="Z53" s="18">
        <f>IF(AC53=15,J53,0)</f>
        <v>0</v>
      </c>
      <c r="AA53" s="18">
        <f>IF(AC53=21,J53,0)</f>
        <v>0</v>
      </c>
      <c r="AC53" s="32">
        <v>21</v>
      </c>
      <c r="AD53" s="32">
        <f>G53*0.178571428571429</f>
        <v>0</v>
      </c>
      <c r="AE53" s="32">
        <f>G53*(1-0.178571428571429)</f>
        <v>0</v>
      </c>
      <c r="AL53" s="32">
        <f>F53*AD53</f>
        <v>0</v>
      </c>
      <c r="AM53" s="32">
        <f>F53*AE53</f>
        <v>0</v>
      </c>
      <c r="AN53" s="33" t="s">
        <v>336</v>
      </c>
      <c r="AO53" s="33" t="s">
        <v>355</v>
      </c>
      <c r="AP53" s="27" t="s">
        <v>358</v>
      </c>
    </row>
    <row r="54" spans="1:42" ht="12.75">
      <c r="A54" s="4" t="s">
        <v>33</v>
      </c>
      <c r="B54" s="4"/>
      <c r="C54" s="4" t="s">
        <v>113</v>
      </c>
      <c r="D54" s="4" t="s">
        <v>218</v>
      </c>
      <c r="E54" s="4" t="s">
        <v>295</v>
      </c>
      <c r="F54" s="18">
        <v>10.37</v>
      </c>
      <c r="G54" s="18">
        <v>0</v>
      </c>
      <c r="H54" s="18">
        <f>ROUND(F54*AD54,2)</f>
        <v>0</v>
      </c>
      <c r="I54" s="18">
        <f>J54-H54</f>
        <v>0</v>
      </c>
      <c r="J54" s="18">
        <f>ROUND(F54*G54,2)</f>
        <v>0</v>
      </c>
      <c r="K54" s="18">
        <v>0.00024</v>
      </c>
      <c r="L54" s="18">
        <f>F54*K54</f>
        <v>0.0024887999999999998</v>
      </c>
      <c r="M54" s="28" t="s">
        <v>7</v>
      </c>
      <c r="N54" s="18">
        <f>IF(M54="5",I54,0)</f>
        <v>0</v>
      </c>
      <c r="Y54" s="18">
        <f>IF(AC54=0,J54,0)</f>
        <v>0</v>
      </c>
      <c r="Z54" s="18">
        <f>IF(AC54=15,J54,0)</f>
        <v>0</v>
      </c>
      <c r="AA54" s="18">
        <f>IF(AC54=21,J54,0)</f>
        <v>0</v>
      </c>
      <c r="AC54" s="32">
        <v>21</v>
      </c>
      <c r="AD54" s="32">
        <f>G54*1</f>
        <v>0</v>
      </c>
      <c r="AE54" s="32">
        <f>G54*(1-1)</f>
        <v>0</v>
      </c>
      <c r="AL54" s="32">
        <f>F54*AD54</f>
        <v>0</v>
      </c>
      <c r="AM54" s="32">
        <f>F54*AE54</f>
        <v>0</v>
      </c>
      <c r="AN54" s="33" t="s">
        <v>336</v>
      </c>
      <c r="AO54" s="33" t="s">
        <v>355</v>
      </c>
      <c r="AP54" s="27" t="s">
        <v>358</v>
      </c>
    </row>
    <row r="55" spans="1:42" ht="12.75">
      <c r="A55" s="4" t="s">
        <v>34</v>
      </c>
      <c r="B55" s="4"/>
      <c r="C55" s="4" t="s">
        <v>114</v>
      </c>
      <c r="D55" s="4" t="s">
        <v>219</v>
      </c>
      <c r="E55" s="4" t="s">
        <v>295</v>
      </c>
      <c r="F55" s="18">
        <v>2.45</v>
      </c>
      <c r="G55" s="18">
        <v>0</v>
      </c>
      <c r="H55" s="18">
        <f>ROUND(F55*AD55,2)</f>
        <v>0</v>
      </c>
      <c r="I55" s="18">
        <f>J55-H55</f>
        <v>0</v>
      </c>
      <c r="J55" s="18">
        <f>ROUND(F55*G55,2)</f>
        <v>0</v>
      </c>
      <c r="K55" s="18">
        <v>2E-05</v>
      </c>
      <c r="L55" s="18">
        <f>F55*K55</f>
        <v>4.9000000000000005E-05</v>
      </c>
      <c r="M55" s="28" t="s">
        <v>7</v>
      </c>
      <c r="N55" s="18">
        <f>IF(M55="5",I55,0)</f>
        <v>0</v>
      </c>
      <c r="Y55" s="18">
        <f>IF(AC55=0,J55,0)</f>
        <v>0</v>
      </c>
      <c r="Z55" s="18">
        <f>IF(AC55=15,J55,0)</f>
        <v>0</v>
      </c>
      <c r="AA55" s="18">
        <f>IF(AC55=21,J55,0)</f>
        <v>0</v>
      </c>
      <c r="AC55" s="32">
        <v>21</v>
      </c>
      <c r="AD55" s="32">
        <f>G55*0.0672972972972973</f>
        <v>0</v>
      </c>
      <c r="AE55" s="32">
        <f>G55*(1-0.0672972972972973)</f>
        <v>0</v>
      </c>
      <c r="AL55" s="32">
        <f>F55*AD55</f>
        <v>0</v>
      </c>
      <c r="AM55" s="32">
        <f>F55*AE55</f>
        <v>0</v>
      </c>
      <c r="AN55" s="33" t="s">
        <v>336</v>
      </c>
      <c r="AO55" s="33" t="s">
        <v>355</v>
      </c>
      <c r="AP55" s="27" t="s">
        <v>358</v>
      </c>
    </row>
    <row r="56" ht="38.25">
      <c r="D56" s="15" t="s">
        <v>220</v>
      </c>
    </row>
    <row r="57" spans="1:42" ht="12.75">
      <c r="A57" s="6" t="s">
        <v>35</v>
      </c>
      <c r="B57" s="6"/>
      <c r="C57" s="6" t="s">
        <v>115</v>
      </c>
      <c r="D57" s="6" t="s">
        <v>221</v>
      </c>
      <c r="E57" s="6" t="s">
        <v>295</v>
      </c>
      <c r="F57" s="19">
        <v>19.75</v>
      </c>
      <c r="G57" s="19">
        <v>0</v>
      </c>
      <c r="H57" s="19">
        <f>ROUND(F57*AD57,2)</f>
        <v>0</v>
      </c>
      <c r="I57" s="19">
        <f>J57-H57</f>
        <v>0</v>
      </c>
      <c r="J57" s="19">
        <f>ROUND(F57*G57,2)</f>
        <v>0</v>
      </c>
      <c r="K57" s="19">
        <v>0.018</v>
      </c>
      <c r="L57" s="19">
        <f>F57*K57</f>
        <v>0.3555</v>
      </c>
      <c r="M57" s="29" t="s">
        <v>318</v>
      </c>
      <c r="N57" s="19">
        <f>IF(M57="5",I57,0)</f>
        <v>0</v>
      </c>
      <c r="Y57" s="19">
        <f>IF(AC57=0,J57,0)</f>
        <v>0</v>
      </c>
      <c r="Z57" s="19">
        <f>IF(AC57=15,J57,0)</f>
        <v>0</v>
      </c>
      <c r="AA57" s="19">
        <f>IF(AC57=21,J57,0)</f>
        <v>0</v>
      </c>
      <c r="AC57" s="32">
        <v>21</v>
      </c>
      <c r="AD57" s="32">
        <f>G57*1</f>
        <v>0</v>
      </c>
      <c r="AE57" s="32">
        <f>G57*(1-1)</f>
        <v>0</v>
      </c>
      <c r="AL57" s="32">
        <f>F57*AD57</f>
        <v>0</v>
      </c>
      <c r="AM57" s="32">
        <f>F57*AE57</f>
        <v>0</v>
      </c>
      <c r="AN57" s="33" t="s">
        <v>336</v>
      </c>
      <c r="AO57" s="33" t="s">
        <v>355</v>
      </c>
      <c r="AP57" s="27" t="s">
        <v>358</v>
      </c>
    </row>
    <row r="58" spans="1:36" ht="12.75">
      <c r="A58" s="5"/>
      <c r="B58" s="13"/>
      <c r="C58" s="13" t="s">
        <v>116</v>
      </c>
      <c r="D58" s="119" t="s">
        <v>222</v>
      </c>
      <c r="E58" s="120"/>
      <c r="F58" s="120"/>
      <c r="G58" s="120"/>
      <c r="H58" s="35">
        <f>SUM(H59:H78)</f>
        <v>0</v>
      </c>
      <c r="I58" s="35">
        <f>SUM(I59:I78)</f>
        <v>0</v>
      </c>
      <c r="J58" s="35">
        <f>H58+I58</f>
        <v>0</v>
      </c>
      <c r="K58" s="27"/>
      <c r="L58" s="35">
        <f>SUM(L59:L78)</f>
        <v>0.7872865</v>
      </c>
      <c r="O58" s="35">
        <f>IF(P58="PR",J58,SUM(N59:N78))</f>
        <v>0</v>
      </c>
      <c r="P58" s="27" t="s">
        <v>322</v>
      </c>
      <c r="Q58" s="35">
        <f>IF(P58="HS",H58,0)</f>
        <v>0</v>
      </c>
      <c r="R58" s="35">
        <f>IF(P58="HS",I58-O58,0)</f>
        <v>0</v>
      </c>
      <c r="S58" s="35">
        <f>IF(P58="PS",H58,0)</f>
        <v>0</v>
      </c>
      <c r="T58" s="35">
        <f>IF(P58="PS",I58-O58,0)</f>
        <v>0</v>
      </c>
      <c r="U58" s="35">
        <f>IF(P58="MP",H58,0)</f>
        <v>0</v>
      </c>
      <c r="V58" s="35">
        <f>IF(P58="MP",I58-O58,0)</f>
        <v>0</v>
      </c>
      <c r="W58" s="35">
        <f>IF(P58="OM",H58,0)</f>
        <v>0</v>
      </c>
      <c r="X58" s="27"/>
      <c r="AH58" s="35">
        <f>SUM(Y59:Y78)</f>
        <v>0</v>
      </c>
      <c r="AI58" s="35">
        <f>SUM(Z59:Z78)</f>
        <v>0</v>
      </c>
      <c r="AJ58" s="35">
        <f>SUM(AA59:AA78)</f>
        <v>0</v>
      </c>
    </row>
    <row r="59" spans="1:42" ht="12.75">
      <c r="A59" s="4" t="s">
        <v>36</v>
      </c>
      <c r="B59" s="4"/>
      <c r="C59" s="4" t="s">
        <v>117</v>
      </c>
      <c r="D59" s="4" t="s">
        <v>223</v>
      </c>
      <c r="E59" s="4" t="s">
        <v>297</v>
      </c>
      <c r="F59" s="18">
        <v>21</v>
      </c>
      <c r="G59" s="18">
        <v>0</v>
      </c>
      <c r="H59" s="18">
        <f>ROUND(F59*AD59,2)</f>
        <v>0</v>
      </c>
      <c r="I59" s="18">
        <f>J59-H59</f>
        <v>0</v>
      </c>
      <c r="J59" s="18">
        <f>ROUND(F59*G59,2)</f>
        <v>0</v>
      </c>
      <c r="K59" s="18">
        <v>0.00464</v>
      </c>
      <c r="L59" s="18">
        <f>F59*K59</f>
        <v>0.09744</v>
      </c>
      <c r="M59" s="28" t="s">
        <v>9</v>
      </c>
      <c r="N59" s="18">
        <f>IF(M59="5",I59,0)</f>
        <v>0</v>
      </c>
      <c r="Y59" s="18">
        <f>IF(AC59=0,J59,0)</f>
        <v>0</v>
      </c>
      <c r="Z59" s="18">
        <f>IF(AC59=15,J59,0)</f>
        <v>0</v>
      </c>
      <c r="AA59" s="18">
        <f>IF(AC59=21,J59,0)</f>
        <v>0</v>
      </c>
      <c r="AC59" s="32">
        <v>21</v>
      </c>
      <c r="AD59" s="32">
        <f>G59*0</f>
        <v>0</v>
      </c>
      <c r="AE59" s="32">
        <f>G59*(1-0)</f>
        <v>0</v>
      </c>
      <c r="AL59" s="32">
        <f>F59*AD59</f>
        <v>0</v>
      </c>
      <c r="AM59" s="32">
        <f>F59*AE59</f>
        <v>0</v>
      </c>
      <c r="AN59" s="33" t="s">
        <v>337</v>
      </c>
      <c r="AO59" s="33" t="s">
        <v>355</v>
      </c>
      <c r="AP59" s="27" t="s">
        <v>358</v>
      </c>
    </row>
    <row r="60" ht="38.25">
      <c r="D60" s="15" t="s">
        <v>224</v>
      </c>
    </row>
    <row r="61" spans="1:42" ht="12.75">
      <c r="A61" s="4" t="s">
        <v>37</v>
      </c>
      <c r="B61" s="4"/>
      <c r="C61" s="4" t="s">
        <v>118</v>
      </c>
      <c r="D61" s="4" t="s">
        <v>225</v>
      </c>
      <c r="E61" s="4" t="s">
        <v>297</v>
      </c>
      <c r="F61" s="18">
        <v>2</v>
      </c>
      <c r="G61" s="18">
        <v>0</v>
      </c>
      <c r="H61" s="18">
        <f>ROUND(F61*AD61,2)</f>
        <v>0</v>
      </c>
      <c r="I61" s="18">
        <f>J61-H61</f>
        <v>0</v>
      </c>
      <c r="J61" s="18">
        <f>ROUND(F61*G61,2)</f>
        <v>0</v>
      </c>
      <c r="K61" s="18">
        <v>0.00336</v>
      </c>
      <c r="L61" s="18">
        <f>F61*K61</f>
        <v>0.00672</v>
      </c>
      <c r="M61" s="28" t="s">
        <v>9</v>
      </c>
      <c r="N61" s="18">
        <f>IF(M61="5",I61,0)</f>
        <v>0</v>
      </c>
      <c r="Y61" s="18">
        <f>IF(AC61=0,J61,0)</f>
        <v>0</v>
      </c>
      <c r="Z61" s="18">
        <f>IF(AC61=15,J61,0)</f>
        <v>0</v>
      </c>
      <c r="AA61" s="18">
        <f>IF(AC61=21,J61,0)</f>
        <v>0</v>
      </c>
      <c r="AC61" s="32">
        <v>21</v>
      </c>
      <c r="AD61" s="32">
        <f>G61*0</f>
        <v>0</v>
      </c>
      <c r="AE61" s="32">
        <f>G61*(1-0)</f>
        <v>0</v>
      </c>
      <c r="AL61" s="32">
        <f>F61*AD61</f>
        <v>0</v>
      </c>
      <c r="AM61" s="32">
        <f>F61*AE61</f>
        <v>0</v>
      </c>
      <c r="AN61" s="33" t="s">
        <v>337</v>
      </c>
      <c r="AO61" s="33" t="s">
        <v>355</v>
      </c>
      <c r="AP61" s="27" t="s">
        <v>358</v>
      </c>
    </row>
    <row r="62" ht="38.25">
      <c r="D62" s="15" t="s">
        <v>226</v>
      </c>
    </row>
    <row r="63" spans="1:42" ht="12.75">
      <c r="A63" s="4" t="s">
        <v>38</v>
      </c>
      <c r="B63" s="4"/>
      <c r="C63" s="4" t="s">
        <v>119</v>
      </c>
      <c r="D63" s="4" t="s">
        <v>227</v>
      </c>
      <c r="E63" s="4" t="s">
        <v>297</v>
      </c>
      <c r="F63" s="18">
        <v>86.3</v>
      </c>
      <c r="G63" s="18">
        <v>0</v>
      </c>
      <c r="H63" s="18">
        <f>ROUND(F63*AD63,2)</f>
        <v>0</v>
      </c>
      <c r="I63" s="18">
        <f>J63-H63</f>
        <v>0</v>
      </c>
      <c r="J63" s="18">
        <f>ROUND(F63*G63,2)</f>
        <v>0</v>
      </c>
      <c r="K63" s="18">
        <v>0.00243</v>
      </c>
      <c r="L63" s="18">
        <f>F63*K63</f>
        <v>0.20970899999999998</v>
      </c>
      <c r="M63" s="28" t="s">
        <v>9</v>
      </c>
      <c r="N63" s="18">
        <f>IF(M63="5",I63,0)</f>
        <v>0</v>
      </c>
      <c r="Y63" s="18">
        <f>IF(AC63=0,J63,0)</f>
        <v>0</v>
      </c>
      <c r="Z63" s="18">
        <f>IF(AC63=15,J63,0)</f>
        <v>0</v>
      </c>
      <c r="AA63" s="18">
        <f>IF(AC63=21,J63,0)</f>
        <v>0</v>
      </c>
      <c r="AC63" s="32">
        <v>21</v>
      </c>
      <c r="AD63" s="32">
        <f>G63*0</f>
        <v>0</v>
      </c>
      <c r="AE63" s="32">
        <f>G63*(1-0)</f>
        <v>0</v>
      </c>
      <c r="AL63" s="32">
        <f>F63*AD63</f>
        <v>0</v>
      </c>
      <c r="AM63" s="32">
        <f>F63*AE63</f>
        <v>0</v>
      </c>
      <c r="AN63" s="33" t="s">
        <v>337</v>
      </c>
      <c r="AO63" s="33" t="s">
        <v>355</v>
      </c>
      <c r="AP63" s="27" t="s">
        <v>358</v>
      </c>
    </row>
    <row r="64" ht="38.25">
      <c r="D64" s="15" t="s">
        <v>228</v>
      </c>
    </row>
    <row r="65" spans="1:42" ht="12.75">
      <c r="A65" s="4" t="s">
        <v>39</v>
      </c>
      <c r="B65" s="4"/>
      <c r="C65" s="4" t="s">
        <v>119</v>
      </c>
      <c r="D65" s="4" t="s">
        <v>229</v>
      </c>
      <c r="E65" s="4" t="s">
        <v>297</v>
      </c>
      <c r="F65" s="18">
        <v>19.8</v>
      </c>
      <c r="G65" s="18">
        <v>0</v>
      </c>
      <c r="H65" s="18">
        <f>ROUND(F65*AD65,2)</f>
        <v>0</v>
      </c>
      <c r="I65" s="18">
        <f>J65-H65</f>
        <v>0</v>
      </c>
      <c r="J65" s="18">
        <f>ROUND(F65*G65,2)</f>
        <v>0</v>
      </c>
      <c r="K65" s="18">
        <v>0.00243</v>
      </c>
      <c r="L65" s="18">
        <f>F65*K65</f>
        <v>0.048114</v>
      </c>
      <c r="M65" s="28" t="s">
        <v>9</v>
      </c>
      <c r="N65" s="18">
        <f>IF(M65="5",I65,0)</f>
        <v>0</v>
      </c>
      <c r="Y65" s="18">
        <f>IF(AC65=0,J65,0)</f>
        <v>0</v>
      </c>
      <c r="Z65" s="18">
        <f>IF(AC65=15,J65,0)</f>
        <v>0</v>
      </c>
      <c r="AA65" s="18">
        <f>IF(AC65=21,J65,0)</f>
        <v>0</v>
      </c>
      <c r="AC65" s="32">
        <v>21</v>
      </c>
      <c r="AD65" s="32">
        <f>G65*0</f>
        <v>0</v>
      </c>
      <c r="AE65" s="32">
        <f>G65*(1-0)</f>
        <v>0</v>
      </c>
      <c r="AL65" s="32">
        <f>F65*AD65</f>
        <v>0</v>
      </c>
      <c r="AM65" s="32">
        <f>F65*AE65</f>
        <v>0</v>
      </c>
      <c r="AN65" s="33" t="s">
        <v>337</v>
      </c>
      <c r="AO65" s="33" t="s">
        <v>355</v>
      </c>
      <c r="AP65" s="27" t="s">
        <v>358</v>
      </c>
    </row>
    <row r="66" ht="38.25">
      <c r="D66" s="15" t="s">
        <v>228</v>
      </c>
    </row>
    <row r="67" spans="1:42" ht="12.75">
      <c r="A67" s="4" t="s">
        <v>40</v>
      </c>
      <c r="B67" s="4"/>
      <c r="C67" s="4" t="s">
        <v>119</v>
      </c>
      <c r="D67" s="4" t="s">
        <v>230</v>
      </c>
      <c r="E67" s="4" t="s">
        <v>297</v>
      </c>
      <c r="F67" s="18">
        <v>9.65</v>
      </c>
      <c r="G67" s="18">
        <v>0</v>
      </c>
      <c r="H67" s="18">
        <f>ROUND(F67*AD67,2)</f>
        <v>0</v>
      </c>
      <c r="I67" s="18">
        <f>J67-H67</f>
        <v>0</v>
      </c>
      <c r="J67" s="18">
        <f>ROUND(F67*G67,2)</f>
        <v>0</v>
      </c>
      <c r="K67" s="18">
        <v>0.00243</v>
      </c>
      <c r="L67" s="18">
        <f>F67*K67</f>
        <v>0.023449499999999998</v>
      </c>
      <c r="M67" s="28" t="s">
        <v>9</v>
      </c>
      <c r="N67" s="18">
        <f>IF(M67="5",I67,0)</f>
        <v>0</v>
      </c>
      <c r="Y67" s="18">
        <f>IF(AC67=0,J67,0)</f>
        <v>0</v>
      </c>
      <c r="Z67" s="18">
        <f>IF(AC67=15,J67,0)</f>
        <v>0</v>
      </c>
      <c r="AA67" s="18">
        <f>IF(AC67=21,J67,0)</f>
        <v>0</v>
      </c>
      <c r="AC67" s="32">
        <v>21</v>
      </c>
      <c r="AD67" s="32">
        <f>G67*0</f>
        <v>0</v>
      </c>
      <c r="AE67" s="32">
        <f>G67*(1-0)</f>
        <v>0</v>
      </c>
      <c r="AL67" s="32">
        <f>F67*AD67</f>
        <v>0</v>
      </c>
      <c r="AM67" s="32">
        <f>F67*AE67</f>
        <v>0</v>
      </c>
      <c r="AN67" s="33" t="s">
        <v>337</v>
      </c>
      <c r="AO67" s="33" t="s">
        <v>355</v>
      </c>
      <c r="AP67" s="27" t="s">
        <v>358</v>
      </c>
    </row>
    <row r="68" ht="38.25">
      <c r="D68" s="15" t="s">
        <v>228</v>
      </c>
    </row>
    <row r="69" spans="1:42" ht="12.75">
      <c r="A69" s="4" t="s">
        <v>41</v>
      </c>
      <c r="B69" s="4"/>
      <c r="C69" s="4" t="s">
        <v>120</v>
      </c>
      <c r="D69" s="4" t="s">
        <v>231</v>
      </c>
      <c r="E69" s="4" t="s">
        <v>297</v>
      </c>
      <c r="F69" s="18">
        <v>21</v>
      </c>
      <c r="G69" s="18">
        <v>0</v>
      </c>
      <c r="H69" s="18">
        <f>ROUND(F69*AD69,2)</f>
        <v>0</v>
      </c>
      <c r="I69" s="18">
        <f>J69-H69</f>
        <v>0</v>
      </c>
      <c r="J69" s="18">
        <f>ROUND(F69*G69,2)</f>
        <v>0</v>
      </c>
      <c r="K69" s="18">
        <v>0.00308</v>
      </c>
      <c r="L69" s="18">
        <f>F69*K69</f>
        <v>0.06468</v>
      </c>
      <c r="M69" s="28" t="s">
        <v>7</v>
      </c>
      <c r="N69" s="18">
        <f>IF(M69="5",I69,0)</f>
        <v>0</v>
      </c>
      <c r="Y69" s="18">
        <f>IF(AC69=0,J69,0)</f>
        <v>0</v>
      </c>
      <c r="Z69" s="18">
        <f>IF(AC69=15,J69,0)</f>
        <v>0</v>
      </c>
      <c r="AA69" s="18">
        <f>IF(AC69=21,J69,0)</f>
        <v>0</v>
      </c>
      <c r="AC69" s="32">
        <v>21</v>
      </c>
      <c r="AD69" s="32">
        <f>G69*0.310481099656357</f>
        <v>0</v>
      </c>
      <c r="AE69" s="32">
        <f>G69*(1-0.310481099656357)</f>
        <v>0</v>
      </c>
      <c r="AL69" s="32">
        <f>F69*AD69</f>
        <v>0</v>
      </c>
      <c r="AM69" s="32">
        <f>F69*AE69</f>
        <v>0</v>
      </c>
      <c r="AN69" s="33" t="s">
        <v>337</v>
      </c>
      <c r="AO69" s="33" t="s">
        <v>355</v>
      </c>
      <c r="AP69" s="27" t="s">
        <v>358</v>
      </c>
    </row>
    <row r="70" ht="12.75">
      <c r="D70" s="15" t="s">
        <v>232</v>
      </c>
    </row>
    <row r="71" spans="1:42" ht="12.75">
      <c r="A71" s="4" t="s">
        <v>42</v>
      </c>
      <c r="B71" s="4"/>
      <c r="C71" s="4" t="s">
        <v>121</v>
      </c>
      <c r="D71" s="4" t="s">
        <v>233</v>
      </c>
      <c r="E71" s="4" t="s">
        <v>298</v>
      </c>
      <c r="F71" s="18">
        <v>1</v>
      </c>
      <c r="G71" s="18">
        <v>0</v>
      </c>
      <c r="H71" s="18">
        <f aca="true" t="shared" si="10" ref="H71:H78">ROUND(F71*AD71,2)</f>
        <v>0</v>
      </c>
      <c r="I71" s="18">
        <f aca="true" t="shared" si="11" ref="I71:I78">J71-H71</f>
        <v>0</v>
      </c>
      <c r="J71" s="18">
        <f aca="true" t="shared" si="12" ref="J71:J78">ROUND(F71*G71,2)</f>
        <v>0</v>
      </c>
      <c r="K71" s="18">
        <v>0.00165</v>
      </c>
      <c r="L71" s="18">
        <f aca="true" t="shared" si="13" ref="L71:L78">F71*K71</f>
        <v>0.00165</v>
      </c>
      <c r="M71" s="28" t="s">
        <v>7</v>
      </c>
      <c r="N71" s="18">
        <f aca="true" t="shared" si="14" ref="N71:N78">IF(M71="5",I71,0)</f>
        <v>0</v>
      </c>
      <c r="Y71" s="18">
        <f aca="true" t="shared" si="15" ref="Y71:Y78">IF(AC71=0,J71,0)</f>
        <v>0</v>
      </c>
      <c r="Z71" s="18">
        <f aca="true" t="shared" si="16" ref="Z71:Z78">IF(AC71=15,J71,0)</f>
        <v>0</v>
      </c>
      <c r="AA71" s="18">
        <f aca="true" t="shared" si="17" ref="AA71:AA78">IF(AC71=21,J71,0)</f>
        <v>0</v>
      </c>
      <c r="AC71" s="32">
        <v>21</v>
      </c>
      <c r="AD71" s="32">
        <f>G71*0.128671789242591</f>
        <v>0</v>
      </c>
      <c r="AE71" s="32">
        <f>G71*(1-0.128671789242591)</f>
        <v>0</v>
      </c>
      <c r="AL71" s="32">
        <f aca="true" t="shared" si="18" ref="AL71:AL78">F71*AD71</f>
        <v>0</v>
      </c>
      <c r="AM71" s="32">
        <f aca="true" t="shared" si="19" ref="AM71:AM78">F71*AE71</f>
        <v>0</v>
      </c>
      <c r="AN71" s="33" t="s">
        <v>337</v>
      </c>
      <c r="AO71" s="33" t="s">
        <v>355</v>
      </c>
      <c r="AP71" s="27" t="s">
        <v>358</v>
      </c>
    </row>
    <row r="72" spans="1:42" ht="12.75">
      <c r="A72" s="4" t="s">
        <v>43</v>
      </c>
      <c r="B72" s="4"/>
      <c r="C72" s="4" t="s">
        <v>122</v>
      </c>
      <c r="D72" s="4" t="s">
        <v>234</v>
      </c>
      <c r="E72" s="4" t="s">
        <v>297</v>
      </c>
      <c r="F72" s="18">
        <v>9.9</v>
      </c>
      <c r="G72" s="18">
        <v>0</v>
      </c>
      <c r="H72" s="18">
        <f t="shared" si="10"/>
        <v>0</v>
      </c>
      <c r="I72" s="18">
        <f t="shared" si="11"/>
        <v>0</v>
      </c>
      <c r="J72" s="18">
        <f t="shared" si="12"/>
        <v>0</v>
      </c>
      <c r="K72" s="18">
        <v>0.00293</v>
      </c>
      <c r="L72" s="18">
        <f t="shared" si="13"/>
        <v>0.029007</v>
      </c>
      <c r="M72" s="28" t="s">
        <v>7</v>
      </c>
      <c r="N72" s="18">
        <f t="shared" si="14"/>
        <v>0</v>
      </c>
      <c r="Y72" s="18">
        <f t="shared" si="15"/>
        <v>0</v>
      </c>
      <c r="Z72" s="18">
        <f t="shared" si="16"/>
        <v>0</v>
      </c>
      <c r="AA72" s="18">
        <f t="shared" si="17"/>
        <v>0</v>
      </c>
      <c r="AC72" s="32">
        <v>21</v>
      </c>
      <c r="AD72" s="32">
        <f>G72*0.292207293666027</f>
        <v>0</v>
      </c>
      <c r="AE72" s="32">
        <f>G72*(1-0.292207293666027)</f>
        <v>0</v>
      </c>
      <c r="AL72" s="32">
        <f t="shared" si="18"/>
        <v>0</v>
      </c>
      <c r="AM72" s="32">
        <f t="shared" si="19"/>
        <v>0</v>
      </c>
      <c r="AN72" s="33" t="s">
        <v>337</v>
      </c>
      <c r="AO72" s="33" t="s">
        <v>355</v>
      </c>
      <c r="AP72" s="27" t="s">
        <v>358</v>
      </c>
    </row>
    <row r="73" spans="1:42" ht="12.75">
      <c r="A73" s="4" t="s">
        <v>44</v>
      </c>
      <c r="B73" s="4"/>
      <c r="C73" s="4" t="s">
        <v>123</v>
      </c>
      <c r="D73" s="4" t="s">
        <v>235</v>
      </c>
      <c r="E73" s="4" t="s">
        <v>297</v>
      </c>
      <c r="F73" s="18">
        <v>9.9</v>
      </c>
      <c r="G73" s="18">
        <v>0</v>
      </c>
      <c r="H73" s="18">
        <f t="shared" si="10"/>
        <v>0</v>
      </c>
      <c r="I73" s="18">
        <f t="shared" si="11"/>
        <v>0</v>
      </c>
      <c r="J73" s="18">
        <f t="shared" si="12"/>
        <v>0</v>
      </c>
      <c r="K73" s="18">
        <v>0.00293</v>
      </c>
      <c r="L73" s="18">
        <f t="shared" si="13"/>
        <v>0.029007</v>
      </c>
      <c r="M73" s="28" t="s">
        <v>7</v>
      </c>
      <c r="N73" s="18">
        <f t="shared" si="14"/>
        <v>0</v>
      </c>
      <c r="Y73" s="18">
        <f t="shared" si="15"/>
        <v>0</v>
      </c>
      <c r="Z73" s="18">
        <f t="shared" si="16"/>
        <v>0</v>
      </c>
      <c r="AA73" s="18">
        <f t="shared" si="17"/>
        <v>0</v>
      </c>
      <c r="AC73" s="32">
        <v>21</v>
      </c>
      <c r="AD73" s="32">
        <f>G73*0.292207293666027</f>
        <v>0</v>
      </c>
      <c r="AE73" s="32">
        <f>G73*(1-0.292207293666027)</f>
        <v>0</v>
      </c>
      <c r="AL73" s="32">
        <f t="shared" si="18"/>
        <v>0</v>
      </c>
      <c r="AM73" s="32">
        <f t="shared" si="19"/>
        <v>0</v>
      </c>
      <c r="AN73" s="33" t="s">
        <v>337</v>
      </c>
      <c r="AO73" s="33" t="s">
        <v>355</v>
      </c>
      <c r="AP73" s="27" t="s">
        <v>358</v>
      </c>
    </row>
    <row r="74" spans="1:42" ht="12.75">
      <c r="A74" s="4" t="s">
        <v>45</v>
      </c>
      <c r="B74" s="4"/>
      <c r="C74" s="4" t="s">
        <v>124</v>
      </c>
      <c r="D74" s="4" t="s">
        <v>236</v>
      </c>
      <c r="E74" s="4" t="s">
        <v>297</v>
      </c>
      <c r="F74" s="18">
        <v>19.9</v>
      </c>
      <c r="G74" s="18">
        <v>0</v>
      </c>
      <c r="H74" s="18">
        <f t="shared" si="10"/>
        <v>0</v>
      </c>
      <c r="I74" s="18">
        <f t="shared" si="11"/>
        <v>0</v>
      </c>
      <c r="J74" s="18">
        <f t="shared" si="12"/>
        <v>0</v>
      </c>
      <c r="K74" s="18">
        <v>0.0025</v>
      </c>
      <c r="L74" s="18">
        <f t="shared" si="13"/>
        <v>0.049749999999999996</v>
      </c>
      <c r="M74" s="28" t="s">
        <v>7</v>
      </c>
      <c r="N74" s="18">
        <f t="shared" si="14"/>
        <v>0</v>
      </c>
      <c r="Y74" s="18">
        <f t="shared" si="15"/>
        <v>0</v>
      </c>
      <c r="Z74" s="18">
        <f t="shared" si="16"/>
        <v>0</v>
      </c>
      <c r="AA74" s="18">
        <f t="shared" si="17"/>
        <v>0</v>
      </c>
      <c r="AC74" s="32">
        <v>21</v>
      </c>
      <c r="AD74" s="32">
        <f>G74*0.255878342080251</f>
        <v>0</v>
      </c>
      <c r="AE74" s="32">
        <f>G74*(1-0.255878342080251)</f>
        <v>0</v>
      </c>
      <c r="AL74" s="32">
        <f t="shared" si="18"/>
        <v>0</v>
      </c>
      <c r="AM74" s="32">
        <f t="shared" si="19"/>
        <v>0</v>
      </c>
      <c r="AN74" s="33" t="s">
        <v>337</v>
      </c>
      <c r="AO74" s="33" t="s">
        <v>355</v>
      </c>
      <c r="AP74" s="27" t="s">
        <v>358</v>
      </c>
    </row>
    <row r="75" spans="1:42" ht="12.75">
      <c r="A75" s="4" t="s">
        <v>46</v>
      </c>
      <c r="B75" s="4"/>
      <c r="C75" s="4" t="s">
        <v>125</v>
      </c>
      <c r="D75" s="4" t="s">
        <v>237</v>
      </c>
      <c r="E75" s="4" t="s">
        <v>297</v>
      </c>
      <c r="F75" s="18">
        <v>19.9</v>
      </c>
      <c r="G75" s="18">
        <v>0</v>
      </c>
      <c r="H75" s="18">
        <f t="shared" si="10"/>
        <v>0</v>
      </c>
      <c r="I75" s="18">
        <f t="shared" si="11"/>
        <v>0</v>
      </c>
      <c r="J75" s="18">
        <f t="shared" si="12"/>
        <v>0</v>
      </c>
      <c r="K75" s="18">
        <v>0.0025</v>
      </c>
      <c r="L75" s="18">
        <f t="shared" si="13"/>
        <v>0.049749999999999996</v>
      </c>
      <c r="M75" s="28" t="s">
        <v>7</v>
      </c>
      <c r="N75" s="18">
        <f t="shared" si="14"/>
        <v>0</v>
      </c>
      <c r="Y75" s="18">
        <f t="shared" si="15"/>
        <v>0</v>
      </c>
      <c r="Z75" s="18">
        <f t="shared" si="16"/>
        <v>0</v>
      </c>
      <c r="AA75" s="18">
        <f t="shared" si="17"/>
        <v>0</v>
      </c>
      <c r="AC75" s="32">
        <v>21</v>
      </c>
      <c r="AD75" s="32">
        <f>G75*0.255884615384615</f>
        <v>0</v>
      </c>
      <c r="AE75" s="32">
        <f>G75*(1-0.255884615384615)</f>
        <v>0</v>
      </c>
      <c r="AL75" s="32">
        <f t="shared" si="18"/>
        <v>0</v>
      </c>
      <c r="AM75" s="32">
        <f t="shared" si="19"/>
        <v>0</v>
      </c>
      <c r="AN75" s="33" t="s">
        <v>337</v>
      </c>
      <c r="AO75" s="33" t="s">
        <v>355</v>
      </c>
      <c r="AP75" s="27" t="s">
        <v>358</v>
      </c>
    </row>
    <row r="76" spans="1:42" ht="12.75">
      <c r="A76" s="4" t="s">
        <v>47</v>
      </c>
      <c r="B76" s="4"/>
      <c r="C76" s="4" t="s">
        <v>126</v>
      </c>
      <c r="D76" s="4" t="s">
        <v>238</v>
      </c>
      <c r="E76" s="4" t="s">
        <v>297</v>
      </c>
      <c r="F76" s="18">
        <v>9.9</v>
      </c>
      <c r="G76" s="18">
        <v>0</v>
      </c>
      <c r="H76" s="18">
        <f t="shared" si="10"/>
        <v>0</v>
      </c>
      <c r="I76" s="18">
        <f t="shared" si="11"/>
        <v>0</v>
      </c>
      <c r="J76" s="18">
        <f t="shared" si="12"/>
        <v>0</v>
      </c>
      <c r="K76" s="18">
        <v>0.0025</v>
      </c>
      <c r="L76" s="18">
        <f t="shared" si="13"/>
        <v>0.02475</v>
      </c>
      <c r="M76" s="28" t="s">
        <v>7</v>
      </c>
      <c r="N76" s="18">
        <f t="shared" si="14"/>
        <v>0</v>
      </c>
      <c r="Y76" s="18">
        <f t="shared" si="15"/>
        <v>0</v>
      </c>
      <c r="Z76" s="18">
        <f t="shared" si="16"/>
        <v>0</v>
      </c>
      <c r="AA76" s="18">
        <f t="shared" si="17"/>
        <v>0</v>
      </c>
      <c r="AC76" s="32">
        <v>21</v>
      </c>
      <c r="AD76" s="32">
        <f>G76*0.255857142857143</f>
        <v>0</v>
      </c>
      <c r="AE76" s="32">
        <f>G76*(1-0.255857142857143)</f>
        <v>0</v>
      </c>
      <c r="AL76" s="32">
        <f t="shared" si="18"/>
        <v>0</v>
      </c>
      <c r="AM76" s="32">
        <f t="shared" si="19"/>
        <v>0</v>
      </c>
      <c r="AN76" s="33" t="s">
        <v>337</v>
      </c>
      <c r="AO76" s="33" t="s">
        <v>355</v>
      </c>
      <c r="AP76" s="27" t="s">
        <v>358</v>
      </c>
    </row>
    <row r="77" spans="1:42" ht="12.75">
      <c r="A77" s="4" t="s">
        <v>48</v>
      </c>
      <c r="B77" s="4"/>
      <c r="C77" s="4" t="s">
        <v>127</v>
      </c>
      <c r="D77" s="4" t="s">
        <v>239</v>
      </c>
      <c r="E77" s="4" t="s">
        <v>297</v>
      </c>
      <c r="F77" s="18">
        <v>59.2</v>
      </c>
      <c r="G77" s="18">
        <v>0</v>
      </c>
      <c r="H77" s="18">
        <f t="shared" si="10"/>
        <v>0</v>
      </c>
      <c r="I77" s="18">
        <f t="shared" si="11"/>
        <v>0</v>
      </c>
      <c r="J77" s="18">
        <f t="shared" si="12"/>
        <v>0</v>
      </c>
      <c r="K77" s="18">
        <v>0.0025</v>
      </c>
      <c r="L77" s="18">
        <f t="shared" si="13"/>
        <v>0.14800000000000002</v>
      </c>
      <c r="M77" s="28" t="s">
        <v>7</v>
      </c>
      <c r="N77" s="18">
        <f t="shared" si="14"/>
        <v>0</v>
      </c>
      <c r="Y77" s="18">
        <f t="shared" si="15"/>
        <v>0</v>
      </c>
      <c r="Z77" s="18">
        <f t="shared" si="16"/>
        <v>0</v>
      </c>
      <c r="AA77" s="18">
        <f t="shared" si="17"/>
        <v>0</v>
      </c>
      <c r="AC77" s="32">
        <v>21</v>
      </c>
      <c r="AD77" s="32">
        <f>G77*0.255869565217391</f>
        <v>0</v>
      </c>
      <c r="AE77" s="32">
        <f>G77*(1-0.255869565217391)</f>
        <v>0</v>
      </c>
      <c r="AL77" s="32">
        <f t="shared" si="18"/>
        <v>0</v>
      </c>
      <c r="AM77" s="32">
        <f t="shared" si="19"/>
        <v>0</v>
      </c>
      <c r="AN77" s="33" t="s">
        <v>337</v>
      </c>
      <c r="AO77" s="33" t="s">
        <v>355</v>
      </c>
      <c r="AP77" s="27" t="s">
        <v>358</v>
      </c>
    </row>
    <row r="78" spans="1:42" ht="12.75">
      <c r="A78" s="4" t="s">
        <v>49</v>
      </c>
      <c r="B78" s="4"/>
      <c r="C78" s="4" t="s">
        <v>128</v>
      </c>
      <c r="D78" s="4" t="s">
        <v>240</v>
      </c>
      <c r="E78" s="4" t="s">
        <v>297</v>
      </c>
      <c r="F78" s="18">
        <v>2</v>
      </c>
      <c r="G78" s="18">
        <v>0</v>
      </c>
      <c r="H78" s="18">
        <f t="shared" si="10"/>
        <v>0</v>
      </c>
      <c r="I78" s="18">
        <f t="shared" si="11"/>
        <v>0</v>
      </c>
      <c r="J78" s="18">
        <f t="shared" si="12"/>
        <v>0</v>
      </c>
      <c r="K78" s="18">
        <v>0.00263</v>
      </c>
      <c r="L78" s="18">
        <f t="shared" si="13"/>
        <v>0.00526</v>
      </c>
      <c r="M78" s="28" t="s">
        <v>9</v>
      </c>
      <c r="N78" s="18">
        <f t="shared" si="14"/>
        <v>0</v>
      </c>
      <c r="Y78" s="18">
        <f t="shared" si="15"/>
        <v>0</v>
      </c>
      <c r="Z78" s="18">
        <f t="shared" si="16"/>
        <v>0</v>
      </c>
      <c r="AA78" s="18">
        <f t="shared" si="17"/>
        <v>0</v>
      </c>
      <c r="AC78" s="32">
        <v>21</v>
      </c>
      <c r="AD78" s="32">
        <f>G78*0.318648372191457</f>
        <v>0</v>
      </c>
      <c r="AE78" s="32">
        <f>G78*(1-0.318648372191457)</f>
        <v>0</v>
      </c>
      <c r="AL78" s="32">
        <f t="shared" si="18"/>
        <v>0</v>
      </c>
      <c r="AM78" s="32">
        <f t="shared" si="19"/>
        <v>0</v>
      </c>
      <c r="AN78" s="33" t="s">
        <v>337</v>
      </c>
      <c r="AO78" s="33" t="s">
        <v>355</v>
      </c>
      <c r="AP78" s="27" t="s">
        <v>358</v>
      </c>
    </row>
    <row r="79" ht="12.75">
      <c r="D79" s="15" t="s">
        <v>241</v>
      </c>
    </row>
    <row r="80" spans="1:36" ht="12.75">
      <c r="A80" s="5"/>
      <c r="B80" s="13"/>
      <c r="C80" s="13" t="s">
        <v>129</v>
      </c>
      <c r="D80" s="119" t="s">
        <v>242</v>
      </c>
      <c r="E80" s="120"/>
      <c r="F80" s="120"/>
      <c r="G80" s="120"/>
      <c r="H80" s="35">
        <f>SUM(H81:H88)</f>
        <v>0</v>
      </c>
      <c r="I80" s="35">
        <f>SUM(I81:I88)</f>
        <v>0</v>
      </c>
      <c r="J80" s="35">
        <f>H80+I80</f>
        <v>0</v>
      </c>
      <c r="K80" s="27"/>
      <c r="L80" s="35">
        <f>SUM(L81:L88)</f>
        <v>1.8502800000000001</v>
      </c>
      <c r="O80" s="35">
        <f>IF(P80="PR",J80,SUM(N81:N88))</f>
        <v>0</v>
      </c>
      <c r="P80" s="27" t="s">
        <v>322</v>
      </c>
      <c r="Q80" s="35">
        <f>IF(P80="HS",H80,0)</f>
        <v>0</v>
      </c>
      <c r="R80" s="35">
        <f>IF(P80="HS",I80-O80,0)</f>
        <v>0</v>
      </c>
      <c r="S80" s="35">
        <f>IF(P80="PS",H80,0)</f>
        <v>0</v>
      </c>
      <c r="T80" s="35">
        <f>IF(P80="PS",I80-O80,0)</f>
        <v>0</v>
      </c>
      <c r="U80" s="35">
        <f>IF(P80="MP",H80,0)</f>
        <v>0</v>
      </c>
      <c r="V80" s="35">
        <f>IF(P80="MP",I80-O80,0)</f>
        <v>0</v>
      </c>
      <c r="W80" s="35">
        <f>IF(P80="OM",H80,0)</f>
        <v>0</v>
      </c>
      <c r="X80" s="27"/>
      <c r="AH80" s="35">
        <f>SUM(Y81:Y88)</f>
        <v>0</v>
      </c>
      <c r="AI80" s="35">
        <f>SUM(Z81:Z88)</f>
        <v>0</v>
      </c>
      <c r="AJ80" s="35">
        <f>SUM(AA81:AA88)</f>
        <v>0</v>
      </c>
    </row>
    <row r="81" spans="1:42" ht="12.75">
      <c r="A81" s="4" t="s">
        <v>50</v>
      </c>
      <c r="B81" s="4"/>
      <c r="C81" s="4" t="s">
        <v>130</v>
      </c>
      <c r="D81" s="4" t="s">
        <v>243</v>
      </c>
      <c r="E81" s="4" t="s">
        <v>295</v>
      </c>
      <c r="F81" s="18">
        <v>43.8</v>
      </c>
      <c r="G81" s="18">
        <v>0</v>
      </c>
      <c r="H81" s="18">
        <f>ROUND(F81*AD81,2)</f>
        <v>0</v>
      </c>
      <c r="I81" s="18">
        <f>J81-H81</f>
        <v>0</v>
      </c>
      <c r="J81" s="18">
        <f>ROUND(F81*G81,2)</f>
        <v>0</v>
      </c>
      <c r="K81" s="18">
        <v>0.0148</v>
      </c>
      <c r="L81" s="18">
        <f>F81*K81</f>
        <v>0.64824</v>
      </c>
      <c r="M81" s="28" t="s">
        <v>9</v>
      </c>
      <c r="N81" s="18">
        <f>IF(M81="5",I81,0)</f>
        <v>0</v>
      </c>
      <c r="Y81" s="18">
        <f>IF(AC81=0,J81,0)</f>
        <v>0</v>
      </c>
      <c r="Z81" s="18">
        <f>IF(AC81=15,J81,0)</f>
        <v>0</v>
      </c>
      <c r="AA81" s="18">
        <f>IF(AC81=21,J81,0)</f>
        <v>0</v>
      </c>
      <c r="AC81" s="32">
        <v>21</v>
      </c>
      <c r="AD81" s="32">
        <f>G81*0</f>
        <v>0</v>
      </c>
      <c r="AE81" s="32">
        <f>G81*(1-0)</f>
        <v>0</v>
      </c>
      <c r="AL81" s="32">
        <f>F81*AD81</f>
        <v>0</v>
      </c>
      <c r="AM81" s="32">
        <f>F81*AE81</f>
        <v>0</v>
      </c>
      <c r="AN81" s="33" t="s">
        <v>338</v>
      </c>
      <c r="AO81" s="33" t="s">
        <v>355</v>
      </c>
      <c r="AP81" s="27" t="s">
        <v>358</v>
      </c>
    </row>
    <row r="82" ht="38.25">
      <c r="D82" s="15" t="s">
        <v>244</v>
      </c>
    </row>
    <row r="83" spans="1:42" ht="12.75">
      <c r="A83" s="4" t="s">
        <v>51</v>
      </c>
      <c r="B83" s="4"/>
      <c r="C83" s="4" t="s">
        <v>131</v>
      </c>
      <c r="D83" s="4" t="s">
        <v>245</v>
      </c>
      <c r="E83" s="4" t="s">
        <v>295</v>
      </c>
      <c r="F83" s="18">
        <v>57.24</v>
      </c>
      <c r="G83" s="18">
        <v>0</v>
      </c>
      <c r="H83" s="18">
        <f>ROUND(F83*AD83,2)</f>
        <v>0</v>
      </c>
      <c r="I83" s="18">
        <f>J83-H83</f>
        <v>0</v>
      </c>
      <c r="J83" s="18">
        <f>ROUND(F83*G83,2)</f>
        <v>0</v>
      </c>
      <c r="K83" s="18">
        <v>0.021</v>
      </c>
      <c r="L83" s="18">
        <f>F83*K83</f>
        <v>1.2020400000000002</v>
      </c>
      <c r="M83" s="28" t="s">
        <v>9</v>
      </c>
      <c r="N83" s="18">
        <f>IF(M83="5",I83,0)</f>
        <v>0</v>
      </c>
      <c r="Y83" s="18">
        <f>IF(AC83=0,J83,0)</f>
        <v>0</v>
      </c>
      <c r="Z83" s="18">
        <f>IF(AC83=15,J83,0)</f>
        <v>0</v>
      </c>
      <c r="AA83" s="18">
        <f>IF(AC83=21,J83,0)</f>
        <v>0</v>
      </c>
      <c r="AC83" s="32">
        <v>21</v>
      </c>
      <c r="AD83" s="32">
        <f>G83*0</f>
        <v>0</v>
      </c>
      <c r="AE83" s="32">
        <f>G83*(1-0)</f>
        <v>0</v>
      </c>
      <c r="AL83" s="32">
        <f>F83*AD83</f>
        <v>0</v>
      </c>
      <c r="AM83" s="32">
        <f>F83*AE83</f>
        <v>0</v>
      </c>
      <c r="AN83" s="33" t="s">
        <v>338</v>
      </c>
      <c r="AO83" s="33" t="s">
        <v>355</v>
      </c>
      <c r="AP83" s="27" t="s">
        <v>358</v>
      </c>
    </row>
    <row r="84" ht="38.25">
      <c r="D84" s="15" t="s">
        <v>246</v>
      </c>
    </row>
    <row r="85" spans="1:42" ht="12.75">
      <c r="A85" s="4" t="s">
        <v>52</v>
      </c>
      <c r="B85" s="4"/>
      <c r="C85" s="4" t="s">
        <v>132</v>
      </c>
      <c r="D85" s="4" t="s">
        <v>247</v>
      </c>
      <c r="E85" s="4" t="s">
        <v>299</v>
      </c>
      <c r="F85" s="18">
        <v>1</v>
      </c>
      <c r="G85" s="18">
        <v>0</v>
      </c>
      <c r="H85" s="18">
        <f>ROUND(F85*AD85,2)</f>
        <v>0</v>
      </c>
      <c r="I85" s="18">
        <f>J85-H85</f>
        <v>0</v>
      </c>
      <c r="J85" s="18">
        <f>ROUND(F85*G85,2)</f>
        <v>0</v>
      </c>
      <c r="K85" s="18">
        <v>0</v>
      </c>
      <c r="L85" s="18">
        <f>F85*K85</f>
        <v>0</v>
      </c>
      <c r="M85" s="28" t="s">
        <v>7</v>
      </c>
      <c r="N85" s="18">
        <f>IF(M85="5",I85,0)</f>
        <v>0</v>
      </c>
      <c r="Y85" s="18">
        <f>IF(AC85=0,J85,0)</f>
        <v>0</v>
      </c>
      <c r="Z85" s="18">
        <f>IF(AC85=15,J85,0)</f>
        <v>0</v>
      </c>
      <c r="AA85" s="18">
        <f>IF(AC85=21,J85,0)</f>
        <v>0</v>
      </c>
      <c r="AC85" s="32">
        <v>21</v>
      </c>
      <c r="AD85" s="32">
        <f>G85*0.799205187199331</f>
        <v>0</v>
      </c>
      <c r="AE85" s="32">
        <f>G85*(1-0.799205187199331)</f>
        <v>0</v>
      </c>
      <c r="AL85" s="32">
        <f>F85*AD85</f>
        <v>0</v>
      </c>
      <c r="AM85" s="32">
        <f>F85*AE85</f>
        <v>0</v>
      </c>
      <c r="AN85" s="33" t="s">
        <v>338</v>
      </c>
      <c r="AO85" s="33" t="s">
        <v>355</v>
      </c>
      <c r="AP85" s="27" t="s">
        <v>358</v>
      </c>
    </row>
    <row r="86" ht="25.5">
      <c r="D86" s="15" t="s">
        <v>248</v>
      </c>
    </row>
    <row r="87" spans="1:42" ht="12.75">
      <c r="A87" s="4" t="s">
        <v>53</v>
      </c>
      <c r="B87" s="4"/>
      <c r="C87" s="4" t="s">
        <v>133</v>
      </c>
      <c r="D87" s="4" t="s">
        <v>249</v>
      </c>
      <c r="E87" s="4" t="s">
        <v>298</v>
      </c>
      <c r="F87" s="18">
        <v>11</v>
      </c>
      <c r="G87" s="18">
        <v>0</v>
      </c>
      <c r="H87" s="18">
        <f>ROUND(F87*AD87,2)</f>
        <v>0</v>
      </c>
      <c r="I87" s="18">
        <f>J87-H87</f>
        <v>0</v>
      </c>
      <c r="J87" s="18">
        <f>ROUND(F87*G87,2)</f>
        <v>0</v>
      </c>
      <c r="K87" s="18">
        <v>0</v>
      </c>
      <c r="L87" s="18">
        <f>F87*K87</f>
        <v>0</v>
      </c>
      <c r="M87" s="28" t="s">
        <v>7</v>
      </c>
      <c r="N87" s="18">
        <f>IF(M87="5",I87,0)</f>
        <v>0</v>
      </c>
      <c r="Y87" s="18">
        <f>IF(AC87=0,J87,0)</f>
        <v>0</v>
      </c>
      <c r="Z87" s="18">
        <f>IF(AC87=15,J87,0)</f>
        <v>0</v>
      </c>
      <c r="AA87" s="18">
        <f>IF(AC87=21,J87,0)</f>
        <v>0</v>
      </c>
      <c r="AC87" s="32">
        <v>21</v>
      </c>
      <c r="AD87" s="32">
        <f>G87*0</f>
        <v>0</v>
      </c>
      <c r="AE87" s="32">
        <f>G87*(1-0)</f>
        <v>0</v>
      </c>
      <c r="AL87" s="32">
        <f>F87*AD87</f>
        <v>0</v>
      </c>
      <c r="AM87" s="32">
        <f>F87*AE87</f>
        <v>0</v>
      </c>
      <c r="AN87" s="33" t="s">
        <v>338</v>
      </c>
      <c r="AO87" s="33" t="s">
        <v>355</v>
      </c>
      <c r="AP87" s="27" t="s">
        <v>358</v>
      </c>
    </row>
    <row r="88" spans="1:42" ht="12.75">
      <c r="A88" s="4" t="s">
        <v>54</v>
      </c>
      <c r="B88" s="4"/>
      <c r="C88" s="4" t="s">
        <v>133</v>
      </c>
      <c r="D88" s="4" t="s">
        <v>250</v>
      </c>
      <c r="E88" s="4" t="s">
        <v>298</v>
      </c>
      <c r="F88" s="18">
        <v>90</v>
      </c>
      <c r="G88" s="18">
        <v>0</v>
      </c>
      <c r="H88" s="18">
        <f>ROUND(F88*AD88,2)</f>
        <v>0</v>
      </c>
      <c r="I88" s="18">
        <f>J88-H88</f>
        <v>0</v>
      </c>
      <c r="J88" s="18">
        <f>ROUND(F88*G88,2)</f>
        <v>0</v>
      </c>
      <c r="K88" s="18">
        <v>0</v>
      </c>
      <c r="L88" s="18">
        <f>F88*K88</f>
        <v>0</v>
      </c>
      <c r="M88" s="28" t="s">
        <v>7</v>
      </c>
      <c r="N88" s="18">
        <f>IF(M88="5",I88,0)</f>
        <v>0</v>
      </c>
      <c r="Y88" s="18">
        <f>IF(AC88=0,J88,0)</f>
        <v>0</v>
      </c>
      <c r="Z88" s="18">
        <f>IF(AC88=15,J88,0)</f>
        <v>0</v>
      </c>
      <c r="AA88" s="18">
        <f>IF(AC88=21,J88,0)</f>
        <v>0</v>
      </c>
      <c r="AC88" s="32">
        <v>21</v>
      </c>
      <c r="AD88" s="32">
        <f>G88*0</f>
        <v>0</v>
      </c>
      <c r="AE88" s="32">
        <f>G88*(1-0)</f>
        <v>0</v>
      </c>
      <c r="AL88" s="32">
        <f>F88*AD88</f>
        <v>0</v>
      </c>
      <c r="AM88" s="32">
        <f>F88*AE88</f>
        <v>0</v>
      </c>
      <c r="AN88" s="33" t="s">
        <v>338</v>
      </c>
      <c r="AO88" s="33" t="s">
        <v>355</v>
      </c>
      <c r="AP88" s="27" t="s">
        <v>358</v>
      </c>
    </row>
    <row r="89" spans="1:36" ht="12.75">
      <c r="A89" s="5"/>
      <c r="B89" s="13"/>
      <c r="C89" s="13" t="s">
        <v>134</v>
      </c>
      <c r="D89" s="119" t="s">
        <v>251</v>
      </c>
      <c r="E89" s="120"/>
      <c r="F89" s="120"/>
      <c r="G89" s="120"/>
      <c r="H89" s="35">
        <f>SUM(H90:H92)</f>
        <v>0</v>
      </c>
      <c r="I89" s="35">
        <f>SUM(I90:I92)</f>
        <v>0</v>
      </c>
      <c r="J89" s="35">
        <f>H89+I89</f>
        <v>0</v>
      </c>
      <c r="K89" s="27"/>
      <c r="L89" s="35">
        <f>SUM(L90:L92)</f>
        <v>0.06260710000000001</v>
      </c>
      <c r="O89" s="35">
        <f>IF(P89="PR",J89,SUM(N90:N92))</f>
        <v>0</v>
      </c>
      <c r="P89" s="27" t="s">
        <v>322</v>
      </c>
      <c r="Q89" s="35">
        <f>IF(P89="HS",H89,0)</f>
        <v>0</v>
      </c>
      <c r="R89" s="35">
        <f>IF(P89="HS",I89-O89,0)</f>
        <v>0</v>
      </c>
      <c r="S89" s="35">
        <f>IF(P89="PS",H89,0)</f>
        <v>0</v>
      </c>
      <c r="T89" s="35">
        <f>IF(P89="PS",I89-O89,0)</f>
        <v>0</v>
      </c>
      <c r="U89" s="35">
        <f>IF(P89="MP",H89,0)</f>
        <v>0</v>
      </c>
      <c r="V89" s="35">
        <f>IF(P89="MP",I89-O89,0)</f>
        <v>0</v>
      </c>
      <c r="W89" s="35">
        <f>IF(P89="OM",H89,0)</f>
        <v>0</v>
      </c>
      <c r="X89" s="27"/>
      <c r="AH89" s="35">
        <f>SUM(Y90:Y92)</f>
        <v>0</v>
      </c>
      <c r="AI89" s="35">
        <f>SUM(Z90:Z92)</f>
        <v>0</v>
      </c>
      <c r="AJ89" s="35">
        <f>SUM(AA90:AA92)</f>
        <v>0</v>
      </c>
    </row>
    <row r="90" spans="1:42" ht="12.75">
      <c r="A90" s="4" t="s">
        <v>55</v>
      </c>
      <c r="B90" s="4"/>
      <c r="C90" s="4" t="s">
        <v>135</v>
      </c>
      <c r="D90" s="4" t="s">
        <v>252</v>
      </c>
      <c r="E90" s="4" t="s">
        <v>295</v>
      </c>
      <c r="F90" s="18">
        <v>74.54</v>
      </c>
      <c r="G90" s="18">
        <v>0</v>
      </c>
      <c r="H90" s="18">
        <f>ROUND(F90*AD90,2)</f>
        <v>0</v>
      </c>
      <c r="I90" s="18">
        <f>J90-H90</f>
        <v>0</v>
      </c>
      <c r="J90" s="18">
        <f>ROUND(F90*G90,2)</f>
        <v>0</v>
      </c>
      <c r="K90" s="18">
        <v>0.00062</v>
      </c>
      <c r="L90" s="18">
        <f>F90*K90</f>
        <v>0.04621480000000001</v>
      </c>
      <c r="M90" s="28" t="s">
        <v>7</v>
      </c>
      <c r="N90" s="18">
        <f>IF(M90="5",I90,0)</f>
        <v>0</v>
      </c>
      <c r="Y90" s="18">
        <f>IF(AC90=0,J90,0)</f>
        <v>0</v>
      </c>
      <c r="Z90" s="18">
        <f>IF(AC90=15,J90,0)</f>
        <v>0</v>
      </c>
      <c r="AA90" s="18">
        <f>IF(AC90=21,J90,0)</f>
        <v>0</v>
      </c>
      <c r="AC90" s="32">
        <v>21</v>
      </c>
      <c r="AD90" s="32">
        <f>G90*0.612568677078832</f>
        <v>0</v>
      </c>
      <c r="AE90" s="32">
        <f>G90*(1-0.612568677078832)</f>
        <v>0</v>
      </c>
      <c r="AL90" s="32">
        <f>F90*AD90</f>
        <v>0</v>
      </c>
      <c r="AM90" s="32">
        <f>F90*AE90</f>
        <v>0</v>
      </c>
      <c r="AN90" s="33" t="s">
        <v>339</v>
      </c>
      <c r="AO90" s="33" t="s">
        <v>356</v>
      </c>
      <c r="AP90" s="27" t="s">
        <v>358</v>
      </c>
    </row>
    <row r="91" spans="1:42" ht="12.75">
      <c r="A91" s="4" t="s">
        <v>56</v>
      </c>
      <c r="B91" s="4"/>
      <c r="C91" s="4" t="s">
        <v>136</v>
      </c>
      <c r="D91" s="4" t="s">
        <v>253</v>
      </c>
      <c r="E91" s="4" t="s">
        <v>295</v>
      </c>
      <c r="F91" s="18">
        <v>11.88</v>
      </c>
      <c r="G91" s="18">
        <v>0</v>
      </c>
      <c r="H91" s="18">
        <f>ROUND(F91*AD91,2)</f>
        <v>0</v>
      </c>
      <c r="I91" s="18">
        <f>J91-H91</f>
        <v>0</v>
      </c>
      <c r="J91" s="18">
        <f>ROUND(F91*G91,2)</f>
        <v>0</v>
      </c>
      <c r="K91" s="18">
        <v>0.00031</v>
      </c>
      <c r="L91" s="18">
        <f>F91*K91</f>
        <v>0.0036828000000000004</v>
      </c>
      <c r="M91" s="28" t="s">
        <v>7</v>
      </c>
      <c r="N91" s="18">
        <f>IF(M91="5",I91,0)</f>
        <v>0</v>
      </c>
      <c r="Y91" s="18">
        <f>IF(AC91=0,J91,0)</f>
        <v>0</v>
      </c>
      <c r="Z91" s="18">
        <f>IF(AC91=15,J91,0)</f>
        <v>0</v>
      </c>
      <c r="AA91" s="18">
        <f>IF(AC91=21,J91,0)</f>
        <v>0</v>
      </c>
      <c r="AC91" s="32">
        <v>21</v>
      </c>
      <c r="AD91" s="32">
        <f>G91*0.162859103833709</f>
        <v>0</v>
      </c>
      <c r="AE91" s="32">
        <f>G91*(1-0.162859103833709)</f>
        <v>0</v>
      </c>
      <c r="AL91" s="32">
        <f>F91*AD91</f>
        <v>0</v>
      </c>
      <c r="AM91" s="32">
        <f>F91*AE91</f>
        <v>0</v>
      </c>
      <c r="AN91" s="33" t="s">
        <v>339</v>
      </c>
      <c r="AO91" s="33" t="s">
        <v>356</v>
      </c>
      <c r="AP91" s="27" t="s">
        <v>358</v>
      </c>
    </row>
    <row r="92" spans="1:42" ht="12.75">
      <c r="A92" s="4" t="s">
        <v>57</v>
      </c>
      <c r="B92" s="4"/>
      <c r="C92" s="4" t="s">
        <v>137</v>
      </c>
      <c r="D92" s="4" t="s">
        <v>254</v>
      </c>
      <c r="E92" s="4" t="s">
        <v>295</v>
      </c>
      <c r="F92" s="18">
        <v>34.35</v>
      </c>
      <c r="G92" s="18">
        <v>0</v>
      </c>
      <c r="H92" s="18">
        <f>ROUND(F92*AD92,2)</f>
        <v>0</v>
      </c>
      <c r="I92" s="18">
        <f>J92-H92</f>
        <v>0</v>
      </c>
      <c r="J92" s="18">
        <f>ROUND(F92*G92,2)</f>
        <v>0</v>
      </c>
      <c r="K92" s="18">
        <v>0.00037</v>
      </c>
      <c r="L92" s="18">
        <f>F92*K92</f>
        <v>0.0127095</v>
      </c>
      <c r="M92" s="28" t="s">
        <v>7</v>
      </c>
      <c r="N92" s="18">
        <f>IF(M92="5",I92,0)</f>
        <v>0</v>
      </c>
      <c r="Y92" s="18">
        <f>IF(AC92=0,J92,0)</f>
        <v>0</v>
      </c>
      <c r="Z92" s="18">
        <f>IF(AC92=15,J92,0)</f>
        <v>0</v>
      </c>
      <c r="AA92" s="18">
        <f>IF(AC92=21,J92,0)</f>
        <v>0</v>
      </c>
      <c r="AC92" s="32">
        <v>21</v>
      </c>
      <c r="AD92" s="32">
        <f>G92*0.470641950506803</f>
        <v>0</v>
      </c>
      <c r="AE92" s="32">
        <f>G92*(1-0.470641950506803)</f>
        <v>0</v>
      </c>
      <c r="AL92" s="32">
        <f>F92*AD92</f>
        <v>0</v>
      </c>
      <c r="AM92" s="32">
        <f>F92*AE92</f>
        <v>0</v>
      </c>
      <c r="AN92" s="33" t="s">
        <v>339</v>
      </c>
      <c r="AO92" s="33" t="s">
        <v>356</v>
      </c>
      <c r="AP92" s="27" t="s">
        <v>358</v>
      </c>
    </row>
    <row r="93" ht="25.5">
      <c r="D93" s="15" t="s">
        <v>255</v>
      </c>
    </row>
    <row r="94" spans="1:36" ht="12.75">
      <c r="A94" s="5"/>
      <c r="B94" s="13"/>
      <c r="C94" s="13" t="s">
        <v>138</v>
      </c>
      <c r="D94" s="119" t="s">
        <v>256</v>
      </c>
      <c r="E94" s="120"/>
      <c r="F94" s="120"/>
      <c r="G94" s="120"/>
      <c r="H94" s="35">
        <f>SUM(H95:H97)</f>
        <v>0</v>
      </c>
      <c r="I94" s="35">
        <f>SUM(I95:I97)</f>
        <v>0</v>
      </c>
      <c r="J94" s="35">
        <f>H94+I94</f>
        <v>0</v>
      </c>
      <c r="K94" s="27"/>
      <c r="L94" s="35">
        <f>SUM(L95:L97)</f>
        <v>1.07568</v>
      </c>
      <c r="O94" s="35">
        <f>IF(P94="PR",J94,SUM(N95:N97))</f>
        <v>0</v>
      </c>
      <c r="P94" s="27" t="s">
        <v>321</v>
      </c>
      <c r="Q94" s="35">
        <f>IF(P94="HS",H94,0)</f>
        <v>0</v>
      </c>
      <c r="R94" s="35">
        <f>IF(P94="HS",I94-O94,0)</f>
        <v>0</v>
      </c>
      <c r="S94" s="35">
        <f>IF(P94="PS",H94,0)</f>
        <v>0</v>
      </c>
      <c r="T94" s="35">
        <f>IF(P94="PS",I94-O94,0)</f>
        <v>0</v>
      </c>
      <c r="U94" s="35">
        <f>IF(P94="MP",H94,0)</f>
        <v>0</v>
      </c>
      <c r="V94" s="35">
        <f>IF(P94="MP",I94-O94,0)</f>
        <v>0</v>
      </c>
      <c r="W94" s="35">
        <f>IF(P94="OM",H94,0)</f>
        <v>0</v>
      </c>
      <c r="X94" s="27"/>
      <c r="AH94" s="35">
        <f>SUM(Y95:Y97)</f>
        <v>0</v>
      </c>
      <c r="AI94" s="35">
        <f>SUM(Z95:Z97)</f>
        <v>0</v>
      </c>
      <c r="AJ94" s="35">
        <f>SUM(AA95:AA97)</f>
        <v>0</v>
      </c>
    </row>
    <row r="95" spans="1:42" ht="12.75">
      <c r="A95" s="4" t="s">
        <v>58</v>
      </c>
      <c r="B95" s="4"/>
      <c r="C95" s="4" t="s">
        <v>139</v>
      </c>
      <c r="D95" s="4" t="s">
        <v>257</v>
      </c>
      <c r="E95" s="4" t="s">
        <v>300</v>
      </c>
      <c r="F95" s="18">
        <v>144</v>
      </c>
      <c r="G95" s="18">
        <v>0</v>
      </c>
      <c r="H95" s="18">
        <f>ROUND(F95*AD95,2)</f>
        <v>0</v>
      </c>
      <c r="I95" s="18">
        <f>J95-H95</f>
        <v>0</v>
      </c>
      <c r="J95" s="18">
        <f>ROUND(F95*G95,2)</f>
        <v>0</v>
      </c>
      <c r="K95" s="18">
        <v>0.00735</v>
      </c>
      <c r="L95" s="18">
        <f>F95*K95</f>
        <v>1.0584</v>
      </c>
      <c r="M95" s="28" t="s">
        <v>7</v>
      </c>
      <c r="N95" s="18">
        <f>IF(M95="5",I95,0)</f>
        <v>0</v>
      </c>
      <c r="Y95" s="18">
        <f>IF(AC95=0,J95,0)</f>
        <v>0</v>
      </c>
      <c r="Z95" s="18">
        <f>IF(AC95=15,J95,0)</f>
        <v>0</v>
      </c>
      <c r="AA95" s="18">
        <f>IF(AC95=21,J95,0)</f>
        <v>0</v>
      </c>
      <c r="AC95" s="32">
        <v>21</v>
      </c>
      <c r="AD95" s="32">
        <f>G95*0.000943396226415094</f>
        <v>0</v>
      </c>
      <c r="AE95" s="32">
        <f>G95*(1-0.000943396226415094)</f>
        <v>0</v>
      </c>
      <c r="AL95" s="32">
        <f>F95*AD95</f>
        <v>0</v>
      </c>
      <c r="AM95" s="32">
        <f>F95*AE95</f>
        <v>0</v>
      </c>
      <c r="AN95" s="33" t="s">
        <v>340</v>
      </c>
      <c r="AO95" s="33" t="s">
        <v>357</v>
      </c>
      <c r="AP95" s="27" t="s">
        <v>358</v>
      </c>
    </row>
    <row r="96" spans="1:42" ht="12.75">
      <c r="A96" s="4" t="s">
        <v>59</v>
      </c>
      <c r="B96" s="4"/>
      <c r="C96" s="4" t="s">
        <v>140</v>
      </c>
      <c r="D96" s="4" t="s">
        <v>258</v>
      </c>
      <c r="E96" s="4" t="s">
        <v>300</v>
      </c>
      <c r="F96" s="18">
        <v>144</v>
      </c>
      <c r="G96" s="18">
        <v>0</v>
      </c>
      <c r="H96" s="18">
        <f>ROUND(F96*AD96,2)</f>
        <v>0</v>
      </c>
      <c r="I96" s="18">
        <f>J96-H96</f>
        <v>0</v>
      </c>
      <c r="J96" s="18">
        <f>ROUND(F96*G96,2)</f>
        <v>0</v>
      </c>
      <c r="K96" s="18">
        <v>0</v>
      </c>
      <c r="L96" s="18">
        <f>F96*K96</f>
        <v>0</v>
      </c>
      <c r="M96" s="28" t="s">
        <v>7</v>
      </c>
      <c r="N96" s="18">
        <f>IF(M96="5",I96,0)</f>
        <v>0</v>
      </c>
      <c r="Y96" s="18">
        <f>IF(AC96=0,J96,0)</f>
        <v>0</v>
      </c>
      <c r="Z96" s="18">
        <f>IF(AC96=15,J96,0)</f>
        <v>0</v>
      </c>
      <c r="AA96" s="18">
        <f>IF(AC96=21,J96,0)</f>
        <v>0</v>
      </c>
      <c r="AC96" s="32">
        <v>21</v>
      </c>
      <c r="AD96" s="32">
        <f>G96*0</f>
        <v>0</v>
      </c>
      <c r="AE96" s="32">
        <f>G96*(1-0)</f>
        <v>0</v>
      </c>
      <c r="AL96" s="32">
        <f>F96*AD96</f>
        <v>0</v>
      </c>
      <c r="AM96" s="32">
        <f>F96*AE96</f>
        <v>0</v>
      </c>
      <c r="AN96" s="33" t="s">
        <v>340</v>
      </c>
      <c r="AO96" s="33" t="s">
        <v>357</v>
      </c>
      <c r="AP96" s="27" t="s">
        <v>358</v>
      </c>
    </row>
    <row r="97" spans="1:42" ht="12.75">
      <c r="A97" s="4" t="s">
        <v>60</v>
      </c>
      <c r="B97" s="4"/>
      <c r="C97" s="4" t="s">
        <v>141</v>
      </c>
      <c r="D97" s="4" t="s">
        <v>259</v>
      </c>
      <c r="E97" s="4" t="s">
        <v>300</v>
      </c>
      <c r="F97" s="18">
        <v>144</v>
      </c>
      <c r="G97" s="18">
        <v>0</v>
      </c>
      <c r="H97" s="18">
        <f>ROUND(F97*AD97,2)</f>
        <v>0</v>
      </c>
      <c r="I97" s="18">
        <f>J97-H97</f>
        <v>0</v>
      </c>
      <c r="J97" s="18">
        <f>ROUND(F97*G97,2)</f>
        <v>0</v>
      </c>
      <c r="K97" s="18">
        <v>0.00012</v>
      </c>
      <c r="L97" s="18">
        <f>F97*K97</f>
        <v>0.01728</v>
      </c>
      <c r="M97" s="28" t="s">
        <v>7</v>
      </c>
      <c r="N97" s="18">
        <f>IF(M97="5",I97,0)</f>
        <v>0</v>
      </c>
      <c r="Y97" s="18">
        <f>IF(AC97=0,J97,0)</f>
        <v>0</v>
      </c>
      <c r="Z97" s="18">
        <f>IF(AC97=15,J97,0)</f>
        <v>0</v>
      </c>
      <c r="AA97" s="18">
        <f>IF(AC97=21,J97,0)</f>
        <v>0</v>
      </c>
      <c r="AC97" s="32">
        <v>21</v>
      </c>
      <c r="AD97" s="32">
        <f>G97*0.945283018867925</f>
        <v>0</v>
      </c>
      <c r="AE97" s="32">
        <f>G97*(1-0.945283018867925)</f>
        <v>0</v>
      </c>
      <c r="AL97" s="32">
        <f>F97*AD97</f>
        <v>0</v>
      </c>
      <c r="AM97" s="32">
        <f>F97*AE97</f>
        <v>0</v>
      </c>
      <c r="AN97" s="33" t="s">
        <v>340</v>
      </c>
      <c r="AO97" s="33" t="s">
        <v>357</v>
      </c>
      <c r="AP97" s="27" t="s">
        <v>358</v>
      </c>
    </row>
    <row r="98" spans="1:36" ht="12.75">
      <c r="A98" s="5"/>
      <c r="B98" s="13"/>
      <c r="C98" s="13" t="s">
        <v>142</v>
      </c>
      <c r="D98" s="119" t="s">
        <v>260</v>
      </c>
      <c r="E98" s="120"/>
      <c r="F98" s="120"/>
      <c r="G98" s="120"/>
      <c r="H98" s="35">
        <f>SUM(H99:H99)</f>
        <v>0</v>
      </c>
      <c r="I98" s="35">
        <f>SUM(I99:I99)</f>
        <v>0</v>
      </c>
      <c r="J98" s="35">
        <f>H98+I98</f>
        <v>0</v>
      </c>
      <c r="K98" s="27"/>
      <c r="L98" s="35">
        <f>SUM(L99:L99)</f>
        <v>0.006758</v>
      </c>
      <c r="O98" s="35">
        <f>IF(P98="PR",J98,SUM(N99:N99))</f>
        <v>0</v>
      </c>
      <c r="P98" s="27" t="s">
        <v>321</v>
      </c>
      <c r="Q98" s="35">
        <f>IF(P98="HS",H98,0)</f>
        <v>0</v>
      </c>
      <c r="R98" s="35">
        <f>IF(P98="HS",I98-O98,0)</f>
        <v>0</v>
      </c>
      <c r="S98" s="35">
        <f>IF(P98="PS",H98,0)</f>
        <v>0</v>
      </c>
      <c r="T98" s="35">
        <f>IF(P98="PS",I98-O98,0)</f>
        <v>0</v>
      </c>
      <c r="U98" s="35">
        <f>IF(P98="MP",H98,0)</f>
        <v>0</v>
      </c>
      <c r="V98" s="35">
        <f>IF(P98="MP",I98-O98,0)</f>
        <v>0</v>
      </c>
      <c r="W98" s="35">
        <f>IF(P98="OM",H98,0)</f>
        <v>0</v>
      </c>
      <c r="X98" s="27"/>
      <c r="AH98" s="35">
        <f>SUM(Y99:Y99)</f>
        <v>0</v>
      </c>
      <c r="AI98" s="35">
        <f>SUM(Z99:Z99)</f>
        <v>0</v>
      </c>
      <c r="AJ98" s="35">
        <f>SUM(AA99:AA99)</f>
        <v>0</v>
      </c>
    </row>
    <row r="99" spans="1:42" ht="12.75">
      <c r="A99" s="4" t="s">
        <v>61</v>
      </c>
      <c r="B99" s="4"/>
      <c r="C99" s="4" t="s">
        <v>143</v>
      </c>
      <c r="D99" s="4" t="s">
        <v>261</v>
      </c>
      <c r="E99" s="4" t="s">
        <v>295</v>
      </c>
      <c r="F99" s="18">
        <v>168.95</v>
      </c>
      <c r="G99" s="18">
        <v>0</v>
      </c>
      <c r="H99" s="18">
        <f>ROUND(F99*AD99,2)</f>
        <v>0</v>
      </c>
      <c r="I99" s="18">
        <f>J99-H99</f>
        <v>0</v>
      </c>
      <c r="J99" s="18">
        <f>ROUND(F99*G99,2)</f>
        <v>0</v>
      </c>
      <c r="K99" s="18">
        <v>4E-05</v>
      </c>
      <c r="L99" s="18">
        <f>F99*K99</f>
        <v>0.006758</v>
      </c>
      <c r="M99" s="28" t="s">
        <v>7</v>
      </c>
      <c r="N99" s="18">
        <f>IF(M99="5",I99,0)</f>
        <v>0</v>
      </c>
      <c r="Y99" s="18">
        <f>IF(AC99=0,J99,0)</f>
        <v>0</v>
      </c>
      <c r="Z99" s="18">
        <f>IF(AC99=15,J99,0)</f>
        <v>0</v>
      </c>
      <c r="AA99" s="18">
        <f>IF(AC99=21,J99,0)</f>
        <v>0</v>
      </c>
      <c r="AC99" s="32">
        <v>21</v>
      </c>
      <c r="AD99" s="32">
        <f>G99*0.0151764705882353</f>
        <v>0</v>
      </c>
      <c r="AE99" s="32">
        <f>G99*(1-0.0151764705882353)</f>
        <v>0</v>
      </c>
      <c r="AL99" s="32">
        <f>F99*AD99</f>
        <v>0</v>
      </c>
      <c r="AM99" s="32">
        <f>F99*AE99</f>
        <v>0</v>
      </c>
      <c r="AN99" s="33" t="s">
        <v>341</v>
      </c>
      <c r="AO99" s="33" t="s">
        <v>357</v>
      </c>
      <c r="AP99" s="27" t="s">
        <v>358</v>
      </c>
    </row>
    <row r="100" ht="63.75">
      <c r="D100" s="15" t="s">
        <v>262</v>
      </c>
    </row>
    <row r="101" spans="1:36" ht="12.75">
      <c r="A101" s="5"/>
      <c r="B101" s="13"/>
      <c r="C101" s="13" t="s">
        <v>144</v>
      </c>
      <c r="D101" s="119" t="s">
        <v>263</v>
      </c>
      <c r="E101" s="120"/>
      <c r="F101" s="120"/>
      <c r="G101" s="120"/>
      <c r="H101" s="35">
        <f>SUM(H102:H107)</f>
        <v>0</v>
      </c>
      <c r="I101" s="35">
        <f>SUM(I102:I107)</f>
        <v>0</v>
      </c>
      <c r="J101" s="35">
        <f>H101+I101</f>
        <v>0</v>
      </c>
      <c r="K101" s="27"/>
      <c r="L101" s="35">
        <f>SUM(L102:L107)</f>
        <v>0</v>
      </c>
      <c r="O101" s="35">
        <f>IF(P101="PR",J101,SUM(N102:N107))</f>
        <v>0</v>
      </c>
      <c r="P101" s="27" t="s">
        <v>321</v>
      </c>
      <c r="Q101" s="35">
        <f>IF(P101="HS",H101,0)</f>
        <v>0</v>
      </c>
      <c r="R101" s="35">
        <f>IF(P101="HS",I101-O101,0)</f>
        <v>0</v>
      </c>
      <c r="S101" s="35">
        <f>IF(P101="PS",H101,0)</f>
        <v>0</v>
      </c>
      <c r="T101" s="35">
        <f>IF(P101="PS",I101-O101,0)</f>
        <v>0</v>
      </c>
      <c r="U101" s="35">
        <f>IF(P101="MP",H101,0)</f>
        <v>0</v>
      </c>
      <c r="V101" s="35">
        <f>IF(P101="MP",I101-O101,0)</f>
        <v>0</v>
      </c>
      <c r="W101" s="35">
        <f>IF(P101="OM",H101,0)</f>
        <v>0</v>
      </c>
      <c r="X101" s="27"/>
      <c r="AH101" s="35">
        <f>SUM(Y102:Y107)</f>
        <v>0</v>
      </c>
      <c r="AI101" s="35">
        <f>SUM(Z102:Z107)</f>
        <v>0</v>
      </c>
      <c r="AJ101" s="35">
        <f>SUM(AA102:AA107)</f>
        <v>0</v>
      </c>
    </row>
    <row r="102" spans="1:42" ht="12.75">
      <c r="A102" s="4" t="s">
        <v>62</v>
      </c>
      <c r="B102" s="4"/>
      <c r="C102" s="4" t="s">
        <v>145</v>
      </c>
      <c r="D102" s="4" t="s">
        <v>264</v>
      </c>
      <c r="E102" s="4" t="s">
        <v>299</v>
      </c>
      <c r="F102" s="18">
        <v>1</v>
      </c>
      <c r="G102" s="18">
        <v>0</v>
      </c>
      <c r="H102" s="18">
        <f>ROUND(F102*AD102,2)</f>
        <v>0</v>
      </c>
      <c r="I102" s="18">
        <f>J102-H102</f>
        <v>0</v>
      </c>
      <c r="J102" s="18">
        <f>ROUND(F102*G102,2)</f>
        <v>0</v>
      </c>
      <c r="K102" s="18">
        <v>0</v>
      </c>
      <c r="L102" s="18">
        <f>F102*K102</f>
        <v>0</v>
      </c>
      <c r="M102" s="28" t="s">
        <v>7</v>
      </c>
      <c r="N102" s="18">
        <f>IF(M102="5",I102,0)</f>
        <v>0</v>
      </c>
      <c r="Y102" s="18">
        <f>IF(AC102=0,J102,0)</f>
        <v>0</v>
      </c>
      <c r="Z102" s="18">
        <f>IF(AC102=15,J102,0)</f>
        <v>0</v>
      </c>
      <c r="AA102" s="18">
        <f>IF(AC102=21,J102,0)</f>
        <v>0</v>
      </c>
      <c r="AC102" s="32">
        <v>21</v>
      </c>
      <c r="AD102" s="32">
        <f>G102*0</f>
        <v>0</v>
      </c>
      <c r="AE102" s="32">
        <f>G102*(1-0)</f>
        <v>0</v>
      </c>
      <c r="AL102" s="32">
        <f>F102*AD102</f>
        <v>0</v>
      </c>
      <c r="AM102" s="32">
        <f>F102*AE102</f>
        <v>0</v>
      </c>
      <c r="AN102" s="33" t="s">
        <v>342</v>
      </c>
      <c r="AO102" s="33" t="s">
        <v>357</v>
      </c>
      <c r="AP102" s="27" t="s">
        <v>358</v>
      </c>
    </row>
    <row r="103" spans="1:42" ht="12.75">
      <c r="A103" s="4" t="s">
        <v>63</v>
      </c>
      <c r="B103" s="4"/>
      <c r="C103" s="4" t="s">
        <v>146</v>
      </c>
      <c r="D103" s="4" t="s">
        <v>265</v>
      </c>
      <c r="E103" s="4" t="s">
        <v>299</v>
      </c>
      <c r="F103" s="18">
        <v>1</v>
      </c>
      <c r="G103" s="18">
        <v>0</v>
      </c>
      <c r="H103" s="18">
        <f>ROUND(F103*AD103,2)</f>
        <v>0</v>
      </c>
      <c r="I103" s="18">
        <f>J103-H103</f>
        <v>0</v>
      </c>
      <c r="J103" s="18">
        <f>ROUND(F103*G103,2)</f>
        <v>0</v>
      </c>
      <c r="K103" s="18">
        <v>0</v>
      </c>
      <c r="L103" s="18">
        <f>F103*K103</f>
        <v>0</v>
      </c>
      <c r="M103" s="28" t="s">
        <v>7</v>
      </c>
      <c r="N103" s="18">
        <f>IF(M103="5",I103,0)</f>
        <v>0</v>
      </c>
      <c r="Y103" s="18">
        <f>IF(AC103=0,J103,0)</f>
        <v>0</v>
      </c>
      <c r="Z103" s="18">
        <f>IF(AC103=15,J103,0)</f>
        <v>0</v>
      </c>
      <c r="AA103" s="18">
        <f>IF(AC103=21,J103,0)</f>
        <v>0</v>
      </c>
      <c r="AC103" s="32">
        <v>21</v>
      </c>
      <c r="AD103" s="32">
        <f>G103*0.569118181818182</f>
        <v>0</v>
      </c>
      <c r="AE103" s="32">
        <f>G103*(1-0.569118181818182)</f>
        <v>0</v>
      </c>
      <c r="AL103" s="32">
        <f>F103*AD103</f>
        <v>0</v>
      </c>
      <c r="AM103" s="32">
        <f>F103*AE103</f>
        <v>0</v>
      </c>
      <c r="AN103" s="33" t="s">
        <v>342</v>
      </c>
      <c r="AO103" s="33" t="s">
        <v>357</v>
      </c>
      <c r="AP103" s="27" t="s">
        <v>358</v>
      </c>
    </row>
    <row r="104" ht="12.75">
      <c r="D104" s="15" t="s">
        <v>266</v>
      </c>
    </row>
    <row r="105" spans="1:42" ht="12.75">
      <c r="A105" s="4" t="s">
        <v>64</v>
      </c>
      <c r="B105" s="4"/>
      <c r="C105" s="4" t="s">
        <v>147</v>
      </c>
      <c r="D105" s="4" t="s">
        <v>267</v>
      </c>
      <c r="E105" s="4" t="s">
        <v>299</v>
      </c>
      <c r="F105" s="18">
        <v>1</v>
      </c>
      <c r="G105" s="18">
        <v>0</v>
      </c>
      <c r="H105" s="18">
        <f>ROUND(F105*AD105,2)</f>
        <v>0</v>
      </c>
      <c r="I105" s="18">
        <f>J105-H105</f>
        <v>0</v>
      </c>
      <c r="J105" s="18">
        <f>ROUND(F105*G105,2)</f>
        <v>0</v>
      </c>
      <c r="K105" s="18">
        <v>0</v>
      </c>
      <c r="L105" s="18">
        <f>F105*K105</f>
        <v>0</v>
      </c>
      <c r="M105" s="28" t="s">
        <v>7</v>
      </c>
      <c r="N105" s="18">
        <f>IF(M105="5",I105,0)</f>
        <v>0</v>
      </c>
      <c r="Y105" s="18">
        <f>IF(AC105=0,J105,0)</f>
        <v>0</v>
      </c>
      <c r="Z105" s="18">
        <f>IF(AC105=15,J105,0)</f>
        <v>0</v>
      </c>
      <c r="AA105" s="18">
        <f>IF(AC105=21,J105,0)</f>
        <v>0</v>
      </c>
      <c r="AC105" s="32">
        <v>21</v>
      </c>
      <c r="AD105" s="32">
        <f>G105*0.589949735449735</f>
        <v>0</v>
      </c>
      <c r="AE105" s="32">
        <f>G105*(1-0.589949735449735)</f>
        <v>0</v>
      </c>
      <c r="AL105" s="32">
        <f>F105*AD105</f>
        <v>0</v>
      </c>
      <c r="AM105" s="32">
        <f>F105*AE105</f>
        <v>0</v>
      </c>
      <c r="AN105" s="33" t="s">
        <v>342</v>
      </c>
      <c r="AO105" s="33" t="s">
        <v>357</v>
      </c>
      <c r="AP105" s="27" t="s">
        <v>358</v>
      </c>
    </row>
    <row r="106" ht="12.75">
      <c r="D106" s="15" t="s">
        <v>268</v>
      </c>
    </row>
    <row r="107" spans="1:42" ht="12.75">
      <c r="A107" s="4" t="s">
        <v>65</v>
      </c>
      <c r="B107" s="4"/>
      <c r="C107" s="4" t="s">
        <v>148</v>
      </c>
      <c r="D107" s="4" t="s">
        <v>269</v>
      </c>
      <c r="E107" s="4" t="s">
        <v>299</v>
      </c>
      <c r="F107" s="18">
        <v>1</v>
      </c>
      <c r="G107" s="18">
        <v>0</v>
      </c>
      <c r="H107" s="18">
        <f>ROUND(F107*AD107,2)</f>
        <v>0</v>
      </c>
      <c r="I107" s="18">
        <f>J107-H107</f>
        <v>0</v>
      </c>
      <c r="J107" s="18">
        <f>ROUND(F107*G107,2)</f>
        <v>0</v>
      </c>
      <c r="K107" s="18">
        <v>0</v>
      </c>
      <c r="L107" s="18">
        <f>F107*K107</f>
        <v>0</v>
      </c>
      <c r="M107" s="28" t="s">
        <v>7</v>
      </c>
      <c r="N107" s="18">
        <f>IF(M107="5",I107,0)</f>
        <v>0</v>
      </c>
      <c r="Y107" s="18">
        <f>IF(AC107=0,J107,0)</f>
        <v>0</v>
      </c>
      <c r="Z107" s="18">
        <f>IF(AC107=15,J107,0)</f>
        <v>0</v>
      </c>
      <c r="AA107" s="18">
        <f>IF(AC107=21,J107,0)</f>
        <v>0</v>
      </c>
      <c r="AC107" s="32">
        <v>21</v>
      </c>
      <c r="AD107" s="32">
        <f>G107*0.476045</f>
        <v>0</v>
      </c>
      <c r="AE107" s="32">
        <f>G107*(1-0.476045)</f>
        <v>0</v>
      </c>
      <c r="AL107" s="32">
        <f>F107*AD107</f>
        <v>0</v>
      </c>
      <c r="AM107" s="32">
        <f>F107*AE107</f>
        <v>0</v>
      </c>
      <c r="AN107" s="33" t="s">
        <v>342</v>
      </c>
      <c r="AO107" s="33" t="s">
        <v>357</v>
      </c>
      <c r="AP107" s="27" t="s">
        <v>358</v>
      </c>
    </row>
    <row r="108" spans="1:36" ht="12.75">
      <c r="A108" s="5"/>
      <c r="B108" s="13"/>
      <c r="C108" s="13" t="s">
        <v>149</v>
      </c>
      <c r="D108" s="119" t="s">
        <v>270</v>
      </c>
      <c r="E108" s="120"/>
      <c r="F108" s="120"/>
      <c r="G108" s="120"/>
      <c r="H108" s="35">
        <f>SUM(H109:H111)</f>
        <v>0</v>
      </c>
      <c r="I108" s="35">
        <f>SUM(I109:I111)</f>
        <v>0</v>
      </c>
      <c r="J108" s="35">
        <f>H108+I108</f>
        <v>0</v>
      </c>
      <c r="K108" s="27"/>
      <c r="L108" s="35">
        <f>SUM(L109:L111)</f>
        <v>2.5551896000000003</v>
      </c>
      <c r="O108" s="35">
        <f>IF(P108="PR",J108,SUM(N109:N111))</f>
        <v>0</v>
      </c>
      <c r="P108" s="27" t="s">
        <v>321</v>
      </c>
      <c r="Q108" s="35">
        <f>IF(P108="HS",H108,0)</f>
        <v>0</v>
      </c>
      <c r="R108" s="35">
        <f>IF(P108="HS",I108-O108,0)</f>
        <v>0</v>
      </c>
      <c r="S108" s="35">
        <f>IF(P108="PS",H108,0)</f>
        <v>0</v>
      </c>
      <c r="T108" s="35">
        <f>IF(P108="PS",I108-O108,0)</f>
        <v>0</v>
      </c>
      <c r="U108" s="35">
        <f>IF(P108="MP",H108,0)</f>
        <v>0</v>
      </c>
      <c r="V108" s="35">
        <f>IF(P108="MP",I108-O108,0)</f>
        <v>0</v>
      </c>
      <c r="W108" s="35">
        <f>IF(P108="OM",H108,0)</f>
        <v>0</v>
      </c>
      <c r="X108" s="27"/>
      <c r="AH108" s="35">
        <f>SUM(Y109:Y111)</f>
        <v>0</v>
      </c>
      <c r="AI108" s="35">
        <f>SUM(Z109:Z111)</f>
        <v>0</v>
      </c>
      <c r="AJ108" s="35">
        <f>SUM(AA109:AA111)</f>
        <v>0</v>
      </c>
    </row>
    <row r="109" spans="1:42" ht="12.75">
      <c r="A109" s="4" t="s">
        <v>66</v>
      </c>
      <c r="B109" s="4"/>
      <c r="C109" s="4" t="s">
        <v>150</v>
      </c>
      <c r="D109" s="4" t="s">
        <v>271</v>
      </c>
      <c r="E109" s="4" t="s">
        <v>295</v>
      </c>
      <c r="F109" s="18">
        <v>4.41</v>
      </c>
      <c r="G109" s="18">
        <v>0</v>
      </c>
      <c r="H109" s="18">
        <f>ROUND(F109*AD109,2)</f>
        <v>0</v>
      </c>
      <c r="I109" s="18">
        <f>J109-H109</f>
        <v>0</v>
      </c>
      <c r="J109" s="18">
        <f>ROUND(F109*G109,2)</f>
        <v>0</v>
      </c>
      <c r="K109" s="18">
        <v>0.08267</v>
      </c>
      <c r="L109" s="18">
        <f>F109*K109</f>
        <v>0.3645747</v>
      </c>
      <c r="M109" s="28" t="s">
        <v>7</v>
      </c>
      <c r="N109" s="18">
        <f>IF(M109="5",I109,0)</f>
        <v>0</v>
      </c>
      <c r="Y109" s="18">
        <f>IF(AC109=0,J109,0)</f>
        <v>0</v>
      </c>
      <c r="Z109" s="18">
        <f>IF(AC109=15,J109,0)</f>
        <v>0</v>
      </c>
      <c r="AA109" s="18">
        <f>IF(AC109=21,J109,0)</f>
        <v>0</v>
      </c>
      <c r="AC109" s="32">
        <v>21</v>
      </c>
      <c r="AD109" s="32">
        <f>G109*0.0993041188640211</f>
        <v>0</v>
      </c>
      <c r="AE109" s="32">
        <f>G109*(1-0.0993041188640211)</f>
        <v>0</v>
      </c>
      <c r="AL109" s="32">
        <f>F109*AD109</f>
        <v>0</v>
      </c>
      <c r="AM109" s="32">
        <f>F109*AE109</f>
        <v>0</v>
      </c>
      <c r="AN109" s="33" t="s">
        <v>343</v>
      </c>
      <c r="AO109" s="33" t="s">
        <v>357</v>
      </c>
      <c r="AP109" s="27" t="s">
        <v>358</v>
      </c>
    </row>
    <row r="110" spans="1:42" ht="12.75">
      <c r="A110" s="4" t="s">
        <v>67</v>
      </c>
      <c r="B110" s="4"/>
      <c r="C110" s="4" t="s">
        <v>151</v>
      </c>
      <c r="D110" s="4" t="s">
        <v>272</v>
      </c>
      <c r="E110" s="4" t="s">
        <v>298</v>
      </c>
      <c r="F110" s="18">
        <v>90</v>
      </c>
      <c r="G110" s="18">
        <v>0</v>
      </c>
      <c r="H110" s="18">
        <f>ROUND(F110*AD110,2)</f>
        <v>0</v>
      </c>
      <c r="I110" s="18">
        <f>J110-H110</f>
        <v>0</v>
      </c>
      <c r="J110" s="18">
        <f>ROUND(F110*G110,2)</f>
        <v>0</v>
      </c>
      <c r="K110" s="18">
        <v>0.004</v>
      </c>
      <c r="L110" s="18">
        <f>F110*K110</f>
        <v>0.36</v>
      </c>
      <c r="M110" s="28" t="s">
        <v>7</v>
      </c>
      <c r="N110" s="18">
        <f>IF(M110="5",I110,0)</f>
        <v>0</v>
      </c>
      <c r="Y110" s="18">
        <f>IF(AC110=0,J110,0)</f>
        <v>0</v>
      </c>
      <c r="Z110" s="18">
        <f>IF(AC110=15,J110,0)</f>
        <v>0</v>
      </c>
      <c r="AA110" s="18">
        <f>IF(AC110=21,J110,0)</f>
        <v>0</v>
      </c>
      <c r="AC110" s="32">
        <v>21</v>
      </c>
      <c r="AD110" s="32">
        <f>G110*0</f>
        <v>0</v>
      </c>
      <c r="AE110" s="32">
        <f>G110*(1-0)</f>
        <v>0</v>
      </c>
      <c r="AL110" s="32">
        <f>F110*AD110</f>
        <v>0</v>
      </c>
      <c r="AM110" s="32">
        <f>F110*AE110</f>
        <v>0</v>
      </c>
      <c r="AN110" s="33" t="s">
        <v>343</v>
      </c>
      <c r="AO110" s="33" t="s">
        <v>357</v>
      </c>
      <c r="AP110" s="27" t="s">
        <v>358</v>
      </c>
    </row>
    <row r="111" spans="1:42" ht="12.75">
      <c r="A111" s="4" t="s">
        <v>68</v>
      </c>
      <c r="B111" s="4"/>
      <c r="C111" s="4" t="s">
        <v>152</v>
      </c>
      <c r="D111" s="4" t="s">
        <v>273</v>
      </c>
      <c r="E111" s="4" t="s">
        <v>300</v>
      </c>
      <c r="F111" s="18">
        <v>1.01</v>
      </c>
      <c r="G111" s="18">
        <v>0</v>
      </c>
      <c r="H111" s="18">
        <f>ROUND(F111*AD111,2)</f>
        <v>0</v>
      </c>
      <c r="I111" s="18">
        <f>J111-H111</f>
        <v>0</v>
      </c>
      <c r="J111" s="18">
        <f>ROUND(F111*G111,2)</f>
        <v>0</v>
      </c>
      <c r="K111" s="18">
        <v>1.81249</v>
      </c>
      <c r="L111" s="18">
        <f>F111*K111</f>
        <v>1.8306149</v>
      </c>
      <c r="M111" s="28" t="s">
        <v>7</v>
      </c>
      <c r="N111" s="18">
        <f>IF(M111="5",I111,0)</f>
        <v>0</v>
      </c>
      <c r="Y111" s="18">
        <f>IF(AC111=0,J111,0)</f>
        <v>0</v>
      </c>
      <c r="Z111" s="18">
        <f>IF(AC111=15,J111,0)</f>
        <v>0</v>
      </c>
      <c r="AA111" s="18">
        <f>IF(AC111=21,J111,0)</f>
        <v>0</v>
      </c>
      <c r="AC111" s="32">
        <v>21</v>
      </c>
      <c r="AD111" s="32">
        <f>G111*0.251200338123415</f>
        <v>0</v>
      </c>
      <c r="AE111" s="32">
        <f>G111*(1-0.251200338123415)</f>
        <v>0</v>
      </c>
      <c r="AL111" s="32">
        <f>F111*AD111</f>
        <v>0</v>
      </c>
      <c r="AM111" s="32">
        <f>F111*AE111</f>
        <v>0</v>
      </c>
      <c r="AN111" s="33" t="s">
        <v>343</v>
      </c>
      <c r="AO111" s="33" t="s">
        <v>357</v>
      </c>
      <c r="AP111" s="27" t="s">
        <v>358</v>
      </c>
    </row>
    <row r="112" ht="12.75">
      <c r="D112" s="15" t="s">
        <v>274</v>
      </c>
    </row>
    <row r="113" spans="1:36" ht="12.75">
      <c r="A113" s="5"/>
      <c r="B113" s="13"/>
      <c r="C113" s="13" t="s">
        <v>153</v>
      </c>
      <c r="D113" s="119" t="s">
        <v>275</v>
      </c>
      <c r="E113" s="120"/>
      <c r="F113" s="120"/>
      <c r="G113" s="120"/>
      <c r="H113" s="35">
        <f>SUM(H114:H114)</f>
        <v>0</v>
      </c>
      <c r="I113" s="35">
        <f>SUM(I114:I114)</f>
        <v>0</v>
      </c>
      <c r="J113" s="35">
        <f>H113+I113</f>
        <v>0</v>
      </c>
      <c r="K113" s="27"/>
      <c r="L113" s="35">
        <f>SUM(L114:L114)</f>
        <v>0</v>
      </c>
      <c r="O113" s="35">
        <f>IF(P113="PR",J113,SUM(N114:N114))</f>
        <v>0</v>
      </c>
      <c r="P113" s="27" t="s">
        <v>321</v>
      </c>
      <c r="Q113" s="35">
        <f>IF(P113="HS",H113,0)</f>
        <v>0</v>
      </c>
      <c r="R113" s="35">
        <f>IF(P113="HS",I113-O113,0)</f>
        <v>0</v>
      </c>
      <c r="S113" s="35">
        <f>IF(P113="PS",H113,0)</f>
        <v>0</v>
      </c>
      <c r="T113" s="35">
        <f>IF(P113="PS",I113-O113,0)</f>
        <v>0</v>
      </c>
      <c r="U113" s="35">
        <f>IF(P113="MP",H113,0)</f>
        <v>0</v>
      </c>
      <c r="V113" s="35">
        <f>IF(P113="MP",I113-O113,0)</f>
        <v>0</v>
      </c>
      <c r="W113" s="35">
        <f>IF(P113="OM",H113,0)</f>
        <v>0</v>
      </c>
      <c r="X113" s="27"/>
      <c r="AH113" s="35">
        <f>SUM(Y114:Y114)</f>
        <v>0</v>
      </c>
      <c r="AI113" s="35">
        <f>SUM(Z114:Z114)</f>
        <v>0</v>
      </c>
      <c r="AJ113" s="35">
        <f>SUM(AA114:AA114)</f>
        <v>0</v>
      </c>
    </row>
    <row r="114" spans="1:42" ht="12.75">
      <c r="A114" s="4" t="s">
        <v>69</v>
      </c>
      <c r="B114" s="4"/>
      <c r="C114" s="4" t="s">
        <v>154</v>
      </c>
      <c r="D114" s="4" t="s">
        <v>276</v>
      </c>
      <c r="E114" s="4" t="s">
        <v>296</v>
      </c>
      <c r="F114" s="18">
        <v>5.45</v>
      </c>
      <c r="G114" s="18">
        <v>0</v>
      </c>
      <c r="H114" s="18">
        <f>ROUND(F114*AD114,2)</f>
        <v>0</v>
      </c>
      <c r="I114" s="18">
        <f>J114-H114</f>
        <v>0</v>
      </c>
      <c r="J114" s="18">
        <f>ROUND(F114*G114,2)</f>
        <v>0</v>
      </c>
      <c r="K114" s="18">
        <v>0</v>
      </c>
      <c r="L114" s="18">
        <f>F114*K114</f>
        <v>0</v>
      </c>
      <c r="M114" s="28" t="s">
        <v>11</v>
      </c>
      <c r="N114" s="18">
        <f>IF(M114="5",I114,0)</f>
        <v>0</v>
      </c>
      <c r="Y114" s="18">
        <f>IF(AC114=0,J114,0)</f>
        <v>0</v>
      </c>
      <c r="Z114" s="18">
        <f>IF(AC114=15,J114,0)</f>
        <v>0</v>
      </c>
      <c r="AA114" s="18">
        <f>IF(AC114=21,J114,0)</f>
        <v>0</v>
      </c>
      <c r="AC114" s="32">
        <v>21</v>
      </c>
      <c r="AD114" s="32">
        <f>G114*0</f>
        <v>0</v>
      </c>
      <c r="AE114" s="32">
        <f>G114*(1-0)</f>
        <v>0</v>
      </c>
      <c r="AL114" s="32">
        <f>F114*AD114</f>
        <v>0</v>
      </c>
      <c r="AM114" s="32">
        <f>F114*AE114</f>
        <v>0</v>
      </c>
      <c r="AN114" s="33" t="s">
        <v>344</v>
      </c>
      <c r="AO114" s="33" t="s">
        <v>357</v>
      </c>
      <c r="AP114" s="27" t="s">
        <v>358</v>
      </c>
    </row>
    <row r="115" spans="1:36" ht="12.75">
      <c r="A115" s="5"/>
      <c r="B115" s="13"/>
      <c r="C115" s="13" t="s">
        <v>155</v>
      </c>
      <c r="D115" s="119" t="s">
        <v>194</v>
      </c>
      <c r="E115" s="120"/>
      <c r="F115" s="120"/>
      <c r="G115" s="120"/>
      <c r="H115" s="35">
        <f>SUM(H116:H116)</f>
        <v>0</v>
      </c>
      <c r="I115" s="35">
        <f>SUM(I116:I116)</f>
        <v>0</v>
      </c>
      <c r="J115" s="35">
        <f>H115+I115</f>
        <v>0</v>
      </c>
      <c r="K115" s="27"/>
      <c r="L115" s="35">
        <f>SUM(L116:L116)</f>
        <v>0</v>
      </c>
      <c r="O115" s="35">
        <f>IF(P115="PR",J115,SUM(N116:N116))</f>
        <v>0</v>
      </c>
      <c r="P115" s="27" t="s">
        <v>321</v>
      </c>
      <c r="Q115" s="35">
        <f>IF(P115="HS",H115,0)</f>
        <v>0</v>
      </c>
      <c r="R115" s="35">
        <f>IF(P115="HS",I115-O115,0)</f>
        <v>0</v>
      </c>
      <c r="S115" s="35">
        <f>IF(P115="PS",H115,0)</f>
        <v>0</v>
      </c>
      <c r="T115" s="35">
        <f>IF(P115="PS",I115-O115,0)</f>
        <v>0</v>
      </c>
      <c r="U115" s="35">
        <f>IF(P115="MP",H115,0)</f>
        <v>0</v>
      </c>
      <c r="V115" s="35">
        <f>IF(P115="MP",I115-O115,0)</f>
        <v>0</v>
      </c>
      <c r="W115" s="35">
        <f>IF(P115="OM",H115,0)</f>
        <v>0</v>
      </c>
      <c r="X115" s="27"/>
      <c r="AH115" s="35">
        <f>SUM(Y116:Y116)</f>
        <v>0</v>
      </c>
      <c r="AI115" s="35">
        <f>SUM(Z116:Z116)</f>
        <v>0</v>
      </c>
      <c r="AJ115" s="35">
        <f>SUM(AA116:AA116)</f>
        <v>0</v>
      </c>
    </row>
    <row r="116" spans="1:42" ht="12.75">
      <c r="A116" s="4" t="s">
        <v>70</v>
      </c>
      <c r="B116" s="4"/>
      <c r="C116" s="4" t="s">
        <v>156</v>
      </c>
      <c r="D116" s="4" t="s">
        <v>277</v>
      </c>
      <c r="E116" s="4" t="s">
        <v>301</v>
      </c>
      <c r="F116" s="18">
        <v>1975.03</v>
      </c>
      <c r="G116" s="18">
        <v>0</v>
      </c>
      <c r="H116" s="18">
        <f>ROUND(F116*AD116,2)</f>
        <v>0</v>
      </c>
      <c r="I116" s="18">
        <f>J116-H116</f>
        <v>0</v>
      </c>
      <c r="J116" s="18">
        <f>ROUND(F116*G116,2)</f>
        <v>0</v>
      </c>
      <c r="K116" s="18">
        <v>0</v>
      </c>
      <c r="L116" s="18">
        <f>F116*K116</f>
        <v>0</v>
      </c>
      <c r="M116" s="28" t="s">
        <v>11</v>
      </c>
      <c r="N116" s="18">
        <f>IF(M116="5",I116,0)</f>
        <v>0</v>
      </c>
      <c r="Y116" s="18">
        <f>IF(AC116=0,J116,0)</f>
        <v>0</v>
      </c>
      <c r="Z116" s="18">
        <f>IF(AC116=15,J116,0)</f>
        <v>0</v>
      </c>
      <c r="AA116" s="18">
        <f>IF(AC116=21,J116,0)</f>
        <v>0</v>
      </c>
      <c r="AC116" s="32">
        <v>21</v>
      </c>
      <c r="AD116" s="32">
        <f>G116*0</f>
        <v>0</v>
      </c>
      <c r="AE116" s="32">
        <f>G116*(1-0)</f>
        <v>0</v>
      </c>
      <c r="AL116" s="32">
        <f>F116*AD116</f>
        <v>0</v>
      </c>
      <c r="AM116" s="32">
        <f>F116*AE116</f>
        <v>0</v>
      </c>
      <c r="AN116" s="33" t="s">
        <v>345</v>
      </c>
      <c r="AO116" s="33" t="s">
        <v>357</v>
      </c>
      <c r="AP116" s="27" t="s">
        <v>358</v>
      </c>
    </row>
    <row r="117" spans="1:36" ht="12.75">
      <c r="A117" s="5"/>
      <c r="B117" s="13"/>
      <c r="C117" s="13" t="s">
        <v>157</v>
      </c>
      <c r="D117" s="119" t="s">
        <v>208</v>
      </c>
      <c r="E117" s="120"/>
      <c r="F117" s="120"/>
      <c r="G117" s="120"/>
      <c r="H117" s="35">
        <f>SUM(H118:H118)</f>
        <v>0</v>
      </c>
      <c r="I117" s="35">
        <f>SUM(I118:I118)</f>
        <v>0</v>
      </c>
      <c r="J117" s="35">
        <f>H117+I117</f>
        <v>0</v>
      </c>
      <c r="K117" s="27"/>
      <c r="L117" s="35">
        <f>SUM(L118:L118)</f>
        <v>0</v>
      </c>
      <c r="O117" s="35">
        <f>IF(P117="PR",J117,SUM(N118:N118))</f>
        <v>0</v>
      </c>
      <c r="P117" s="27" t="s">
        <v>321</v>
      </c>
      <c r="Q117" s="35">
        <f>IF(P117="HS",H117,0)</f>
        <v>0</v>
      </c>
      <c r="R117" s="35">
        <f>IF(P117="HS",I117-O117,0)</f>
        <v>0</v>
      </c>
      <c r="S117" s="35">
        <f>IF(P117="PS",H117,0)</f>
        <v>0</v>
      </c>
      <c r="T117" s="35">
        <f>IF(P117="PS",I117-O117,0)</f>
        <v>0</v>
      </c>
      <c r="U117" s="35">
        <f>IF(P117="MP",H117,0)</f>
        <v>0</v>
      </c>
      <c r="V117" s="35">
        <f>IF(P117="MP",I117-O117,0)</f>
        <v>0</v>
      </c>
      <c r="W117" s="35">
        <f>IF(P117="OM",H117,0)</f>
        <v>0</v>
      </c>
      <c r="X117" s="27"/>
      <c r="AH117" s="35">
        <f>SUM(Y118:Y118)</f>
        <v>0</v>
      </c>
      <c r="AI117" s="35">
        <f>SUM(Z118:Z118)</f>
        <v>0</v>
      </c>
      <c r="AJ117" s="35">
        <f>SUM(AA118:AA118)</f>
        <v>0</v>
      </c>
    </row>
    <row r="118" spans="1:42" ht="12.75">
      <c r="A118" s="4" t="s">
        <v>71</v>
      </c>
      <c r="B118" s="4"/>
      <c r="C118" s="4" t="s">
        <v>158</v>
      </c>
      <c r="D118" s="4" t="s">
        <v>278</v>
      </c>
      <c r="E118" s="4" t="s">
        <v>301</v>
      </c>
      <c r="F118" s="18">
        <v>731.21</v>
      </c>
      <c r="G118" s="18">
        <v>0</v>
      </c>
      <c r="H118" s="18">
        <f>ROUND(F118*AD118,2)</f>
        <v>0</v>
      </c>
      <c r="I118" s="18">
        <f>J118-H118</f>
        <v>0</v>
      </c>
      <c r="J118" s="18">
        <f>ROUND(F118*G118,2)</f>
        <v>0</v>
      </c>
      <c r="K118" s="18">
        <v>0</v>
      </c>
      <c r="L118" s="18">
        <f>F118*K118</f>
        <v>0</v>
      </c>
      <c r="M118" s="28" t="s">
        <v>11</v>
      </c>
      <c r="N118" s="18">
        <f>IF(M118="5",I118,0)</f>
        <v>0</v>
      </c>
      <c r="Y118" s="18">
        <f>IF(AC118=0,J118,0)</f>
        <v>0</v>
      </c>
      <c r="Z118" s="18">
        <f>IF(AC118=15,J118,0)</f>
        <v>0</v>
      </c>
      <c r="AA118" s="18">
        <f>IF(AC118=21,J118,0)</f>
        <v>0</v>
      </c>
      <c r="AC118" s="32">
        <v>21</v>
      </c>
      <c r="AD118" s="32">
        <f>G118*0</f>
        <v>0</v>
      </c>
      <c r="AE118" s="32">
        <f>G118*(1-0)</f>
        <v>0</v>
      </c>
      <c r="AL118" s="32">
        <f>F118*AD118</f>
        <v>0</v>
      </c>
      <c r="AM118" s="32">
        <f>F118*AE118</f>
        <v>0</v>
      </c>
      <c r="AN118" s="33" t="s">
        <v>346</v>
      </c>
      <c r="AO118" s="33" t="s">
        <v>357</v>
      </c>
      <c r="AP118" s="27" t="s">
        <v>358</v>
      </c>
    </row>
    <row r="119" spans="1:36" ht="12.75">
      <c r="A119" s="5"/>
      <c r="B119" s="13"/>
      <c r="C119" s="13" t="s">
        <v>159</v>
      </c>
      <c r="D119" s="119" t="s">
        <v>216</v>
      </c>
      <c r="E119" s="120"/>
      <c r="F119" s="120"/>
      <c r="G119" s="120"/>
      <c r="H119" s="35">
        <f>SUM(H120:H120)</f>
        <v>0</v>
      </c>
      <c r="I119" s="35">
        <f>SUM(I120:I120)</f>
        <v>0</v>
      </c>
      <c r="J119" s="35">
        <f>H119+I119</f>
        <v>0</v>
      </c>
      <c r="K119" s="27"/>
      <c r="L119" s="35">
        <f>SUM(L120:L120)</f>
        <v>0</v>
      </c>
      <c r="O119" s="35">
        <f>IF(P119="PR",J119,SUM(N120:N120))</f>
        <v>0</v>
      </c>
      <c r="P119" s="27" t="s">
        <v>321</v>
      </c>
      <c r="Q119" s="35">
        <f>IF(P119="HS",H119,0)</f>
        <v>0</v>
      </c>
      <c r="R119" s="35">
        <f>IF(P119="HS",I119-O119,0)</f>
        <v>0</v>
      </c>
      <c r="S119" s="35">
        <f>IF(P119="PS",H119,0)</f>
        <v>0</v>
      </c>
      <c r="T119" s="35">
        <f>IF(P119="PS",I119-O119,0)</f>
        <v>0</v>
      </c>
      <c r="U119" s="35">
        <f>IF(P119="MP",H119,0)</f>
        <v>0</v>
      </c>
      <c r="V119" s="35">
        <f>IF(P119="MP",I119-O119,0)</f>
        <v>0</v>
      </c>
      <c r="W119" s="35">
        <f>IF(P119="OM",H119,0)</f>
        <v>0</v>
      </c>
      <c r="X119" s="27"/>
      <c r="AH119" s="35">
        <f>SUM(Y120:Y120)</f>
        <v>0</v>
      </c>
      <c r="AI119" s="35">
        <f>SUM(Z120:Z120)</f>
        <v>0</v>
      </c>
      <c r="AJ119" s="35">
        <f>SUM(AA120:AA120)</f>
        <v>0</v>
      </c>
    </row>
    <row r="120" spans="1:42" ht="12.75">
      <c r="A120" s="4" t="s">
        <v>72</v>
      </c>
      <c r="B120" s="4"/>
      <c r="C120" s="4" t="s">
        <v>160</v>
      </c>
      <c r="D120" s="4" t="s">
        <v>279</v>
      </c>
      <c r="E120" s="4" t="s">
        <v>301</v>
      </c>
      <c r="F120" s="18">
        <v>52.26</v>
      </c>
      <c r="G120" s="18">
        <v>0</v>
      </c>
      <c r="H120" s="18">
        <f>ROUND(F120*AD120,2)</f>
        <v>0</v>
      </c>
      <c r="I120" s="18">
        <f>J120-H120</f>
        <v>0</v>
      </c>
      <c r="J120" s="18">
        <f>ROUND(F120*G120,2)</f>
        <v>0</v>
      </c>
      <c r="K120" s="18">
        <v>0</v>
      </c>
      <c r="L120" s="18">
        <f>F120*K120</f>
        <v>0</v>
      </c>
      <c r="M120" s="28" t="s">
        <v>11</v>
      </c>
      <c r="N120" s="18">
        <f>IF(M120="5",I120,0)</f>
        <v>0</v>
      </c>
      <c r="Y120" s="18">
        <f>IF(AC120=0,J120,0)</f>
        <v>0</v>
      </c>
      <c r="Z120" s="18">
        <f>IF(AC120=15,J120,0)</f>
        <v>0</v>
      </c>
      <c r="AA120" s="18">
        <f>IF(AC120=21,J120,0)</f>
        <v>0</v>
      </c>
      <c r="AC120" s="32">
        <v>21</v>
      </c>
      <c r="AD120" s="32">
        <f>G120*0</f>
        <v>0</v>
      </c>
      <c r="AE120" s="32">
        <f>G120*(1-0)</f>
        <v>0</v>
      </c>
      <c r="AL120" s="32">
        <f>F120*AD120</f>
        <v>0</v>
      </c>
      <c r="AM120" s="32">
        <f>F120*AE120</f>
        <v>0</v>
      </c>
      <c r="AN120" s="33" t="s">
        <v>347</v>
      </c>
      <c r="AO120" s="33" t="s">
        <v>357</v>
      </c>
      <c r="AP120" s="27" t="s">
        <v>358</v>
      </c>
    </row>
    <row r="121" spans="1:36" ht="12.75">
      <c r="A121" s="5"/>
      <c r="B121" s="13"/>
      <c r="C121" s="13" t="s">
        <v>161</v>
      </c>
      <c r="D121" s="119" t="s">
        <v>222</v>
      </c>
      <c r="E121" s="120"/>
      <c r="F121" s="120"/>
      <c r="G121" s="120"/>
      <c r="H121" s="35">
        <f>SUM(H122:H122)</f>
        <v>0</v>
      </c>
      <c r="I121" s="35">
        <f>SUM(I122:I122)</f>
        <v>0</v>
      </c>
      <c r="J121" s="35">
        <f>H121+I121</f>
        <v>0</v>
      </c>
      <c r="K121" s="27"/>
      <c r="L121" s="35">
        <f>SUM(L122:L122)</f>
        <v>0</v>
      </c>
      <c r="O121" s="35">
        <f>IF(P121="PR",J121,SUM(N122:N122))</f>
        <v>0</v>
      </c>
      <c r="P121" s="27" t="s">
        <v>321</v>
      </c>
      <c r="Q121" s="35">
        <f>IF(P121="HS",H121,0)</f>
        <v>0</v>
      </c>
      <c r="R121" s="35">
        <f>IF(P121="HS",I121-O121,0)</f>
        <v>0</v>
      </c>
      <c r="S121" s="35">
        <f>IF(P121="PS",H121,0)</f>
        <v>0</v>
      </c>
      <c r="T121" s="35">
        <f>IF(P121="PS",I121-O121,0)</f>
        <v>0</v>
      </c>
      <c r="U121" s="35">
        <f>IF(P121="MP",H121,0)</f>
        <v>0</v>
      </c>
      <c r="V121" s="35">
        <f>IF(P121="MP",I121-O121,0)</f>
        <v>0</v>
      </c>
      <c r="W121" s="35">
        <f>IF(P121="OM",H121,0)</f>
        <v>0</v>
      </c>
      <c r="X121" s="27"/>
      <c r="AH121" s="35">
        <f>SUM(Y122:Y122)</f>
        <v>0</v>
      </c>
      <c r="AI121" s="35">
        <f>SUM(Z122:Z122)</f>
        <v>0</v>
      </c>
      <c r="AJ121" s="35">
        <f>SUM(AA122:AA122)</f>
        <v>0</v>
      </c>
    </row>
    <row r="122" spans="1:42" ht="12.75">
      <c r="A122" s="4" t="s">
        <v>73</v>
      </c>
      <c r="B122" s="4"/>
      <c r="C122" s="4" t="s">
        <v>162</v>
      </c>
      <c r="D122" s="4" t="s">
        <v>280</v>
      </c>
      <c r="E122" s="4" t="s">
        <v>301</v>
      </c>
      <c r="F122" s="18">
        <v>379.8</v>
      </c>
      <c r="G122" s="18">
        <v>0</v>
      </c>
      <c r="H122" s="18">
        <f>ROUND(F122*AD122,2)</f>
        <v>0</v>
      </c>
      <c r="I122" s="18">
        <f>J122-H122</f>
        <v>0</v>
      </c>
      <c r="J122" s="18">
        <f>ROUND(F122*G122,2)</f>
        <v>0</v>
      </c>
      <c r="K122" s="18">
        <v>0</v>
      </c>
      <c r="L122" s="18">
        <f>F122*K122</f>
        <v>0</v>
      </c>
      <c r="M122" s="28" t="s">
        <v>11</v>
      </c>
      <c r="N122" s="18">
        <f>IF(M122="5",I122,0)</f>
        <v>0</v>
      </c>
      <c r="Y122" s="18">
        <f>IF(AC122=0,J122,0)</f>
        <v>0</v>
      </c>
      <c r="Z122" s="18">
        <f>IF(AC122=15,J122,0)</f>
        <v>0</v>
      </c>
      <c r="AA122" s="18">
        <f>IF(AC122=21,J122,0)</f>
        <v>0</v>
      </c>
      <c r="AC122" s="32">
        <v>21</v>
      </c>
      <c r="AD122" s="32">
        <f>G122*0</f>
        <v>0</v>
      </c>
      <c r="AE122" s="32">
        <f>G122*(1-0)</f>
        <v>0</v>
      </c>
      <c r="AL122" s="32">
        <f>F122*AD122</f>
        <v>0</v>
      </c>
      <c r="AM122" s="32">
        <f>F122*AE122</f>
        <v>0</v>
      </c>
      <c r="AN122" s="33" t="s">
        <v>348</v>
      </c>
      <c r="AO122" s="33" t="s">
        <v>357</v>
      </c>
      <c r="AP122" s="27" t="s">
        <v>358</v>
      </c>
    </row>
    <row r="123" spans="1:36" ht="12.75">
      <c r="A123" s="5"/>
      <c r="B123" s="13"/>
      <c r="C123" s="13" t="s">
        <v>163</v>
      </c>
      <c r="D123" s="119" t="s">
        <v>242</v>
      </c>
      <c r="E123" s="120"/>
      <c r="F123" s="120"/>
      <c r="G123" s="120"/>
      <c r="H123" s="35">
        <f>SUM(H124:H124)</f>
        <v>0</v>
      </c>
      <c r="I123" s="35">
        <f>SUM(I124:I124)</f>
        <v>0</v>
      </c>
      <c r="J123" s="35">
        <f>H123+I123</f>
        <v>0</v>
      </c>
      <c r="K123" s="27"/>
      <c r="L123" s="35">
        <f>SUM(L124:L124)</f>
        <v>0</v>
      </c>
      <c r="O123" s="35">
        <f>IF(P123="PR",J123,SUM(N124:N124))</f>
        <v>0</v>
      </c>
      <c r="P123" s="27" t="s">
        <v>321</v>
      </c>
      <c r="Q123" s="35">
        <f>IF(P123="HS",H123,0)</f>
        <v>0</v>
      </c>
      <c r="R123" s="35">
        <f>IF(P123="HS",I123-O123,0)</f>
        <v>0</v>
      </c>
      <c r="S123" s="35">
        <f>IF(P123="PS",H123,0)</f>
        <v>0</v>
      </c>
      <c r="T123" s="35">
        <f>IF(P123="PS",I123-O123,0)</f>
        <v>0</v>
      </c>
      <c r="U123" s="35">
        <f>IF(P123="MP",H123,0)</f>
        <v>0</v>
      </c>
      <c r="V123" s="35">
        <f>IF(P123="MP",I123-O123,0)</f>
        <v>0</v>
      </c>
      <c r="W123" s="35">
        <f>IF(P123="OM",H123,0)</f>
        <v>0</v>
      </c>
      <c r="X123" s="27"/>
      <c r="AH123" s="35">
        <f>SUM(Y124:Y124)</f>
        <v>0</v>
      </c>
      <c r="AI123" s="35">
        <f>SUM(Z124:Z124)</f>
        <v>0</v>
      </c>
      <c r="AJ123" s="35">
        <f>SUM(AA124:AA124)</f>
        <v>0</v>
      </c>
    </row>
    <row r="124" spans="1:42" ht="12.75">
      <c r="A124" s="4" t="s">
        <v>74</v>
      </c>
      <c r="B124" s="4"/>
      <c r="C124" s="4" t="s">
        <v>164</v>
      </c>
      <c r="D124" s="4" t="s">
        <v>281</v>
      </c>
      <c r="E124" s="4" t="s">
        <v>301</v>
      </c>
      <c r="F124" s="18">
        <v>2526.85</v>
      </c>
      <c r="G124" s="18">
        <v>0</v>
      </c>
      <c r="H124" s="18">
        <f>ROUND(F124*AD124,2)</f>
        <v>0</v>
      </c>
      <c r="I124" s="18">
        <f>J124-H124</f>
        <v>0</v>
      </c>
      <c r="J124" s="18">
        <f>ROUND(F124*G124,2)</f>
        <v>0</v>
      </c>
      <c r="K124" s="18">
        <v>0</v>
      </c>
      <c r="L124" s="18">
        <f>F124*K124</f>
        <v>0</v>
      </c>
      <c r="M124" s="28" t="s">
        <v>11</v>
      </c>
      <c r="N124" s="18">
        <f>IF(M124="5",I124,0)</f>
        <v>0</v>
      </c>
      <c r="Y124" s="18">
        <f>IF(AC124=0,J124,0)</f>
        <v>0</v>
      </c>
      <c r="Z124" s="18">
        <f>IF(AC124=15,J124,0)</f>
        <v>0</v>
      </c>
      <c r="AA124" s="18">
        <f>IF(AC124=21,J124,0)</f>
        <v>0</v>
      </c>
      <c r="AC124" s="32">
        <v>21</v>
      </c>
      <c r="AD124" s="32">
        <f>G124*0</f>
        <v>0</v>
      </c>
      <c r="AE124" s="32">
        <f>G124*(1-0)</f>
        <v>0</v>
      </c>
      <c r="AL124" s="32">
        <f>F124*AD124</f>
        <v>0</v>
      </c>
      <c r="AM124" s="32">
        <f>F124*AE124</f>
        <v>0</v>
      </c>
      <c r="AN124" s="33" t="s">
        <v>349</v>
      </c>
      <c r="AO124" s="33" t="s">
        <v>357</v>
      </c>
      <c r="AP124" s="27" t="s">
        <v>358</v>
      </c>
    </row>
    <row r="125" spans="1:36" ht="12.75">
      <c r="A125" s="5"/>
      <c r="B125" s="13"/>
      <c r="C125" s="13" t="s">
        <v>165</v>
      </c>
      <c r="D125" s="119" t="s">
        <v>282</v>
      </c>
      <c r="E125" s="120"/>
      <c r="F125" s="120"/>
      <c r="G125" s="120"/>
      <c r="H125" s="35">
        <f>SUM(H126:H132)</f>
        <v>0</v>
      </c>
      <c r="I125" s="35">
        <f>SUM(I126:I132)</f>
        <v>0</v>
      </c>
      <c r="J125" s="35">
        <f>H125+I125</f>
        <v>0</v>
      </c>
      <c r="K125" s="27"/>
      <c r="L125" s="35">
        <f>SUM(L126:L132)</f>
        <v>0</v>
      </c>
      <c r="O125" s="35">
        <f>IF(P125="PR",J125,SUM(N126:N132))</f>
        <v>0</v>
      </c>
      <c r="P125" s="27" t="s">
        <v>321</v>
      </c>
      <c r="Q125" s="35">
        <f>IF(P125="HS",H125,0)</f>
        <v>0</v>
      </c>
      <c r="R125" s="35">
        <f>IF(P125="HS",I125-O125,0)</f>
        <v>0</v>
      </c>
      <c r="S125" s="35">
        <f>IF(P125="PS",H125,0)</f>
        <v>0</v>
      </c>
      <c r="T125" s="35">
        <f>IF(P125="PS",I125-O125,0)</f>
        <v>0</v>
      </c>
      <c r="U125" s="35">
        <f>IF(P125="MP",H125,0)</f>
        <v>0</v>
      </c>
      <c r="V125" s="35">
        <f>IF(P125="MP",I125-O125,0)</f>
        <v>0</v>
      </c>
      <c r="W125" s="35">
        <f>IF(P125="OM",H125,0)</f>
        <v>0</v>
      </c>
      <c r="X125" s="27"/>
      <c r="AH125" s="35">
        <f>SUM(Y126:Y132)</f>
        <v>0</v>
      </c>
      <c r="AI125" s="35">
        <f>SUM(Z126:Z132)</f>
        <v>0</v>
      </c>
      <c r="AJ125" s="35">
        <f>SUM(AA126:AA132)</f>
        <v>0</v>
      </c>
    </row>
    <row r="126" spans="1:42" ht="12.75">
      <c r="A126" s="4" t="s">
        <v>75</v>
      </c>
      <c r="B126" s="4"/>
      <c r="C126" s="4" t="s">
        <v>166</v>
      </c>
      <c r="D126" s="4" t="s">
        <v>283</v>
      </c>
      <c r="E126" s="4" t="s">
        <v>296</v>
      </c>
      <c r="F126" s="18">
        <v>19.96</v>
      </c>
      <c r="G126" s="18">
        <v>0</v>
      </c>
      <c r="H126" s="18">
        <f>ROUND(F126*AD126,2)</f>
        <v>0</v>
      </c>
      <c r="I126" s="18">
        <f>J126-H126</f>
        <v>0</v>
      </c>
      <c r="J126" s="18">
        <f>ROUND(F126*G126,2)</f>
        <v>0</v>
      </c>
      <c r="K126" s="18">
        <v>0</v>
      </c>
      <c r="L126" s="18">
        <f>F126*K126</f>
        <v>0</v>
      </c>
      <c r="M126" s="28" t="s">
        <v>11</v>
      </c>
      <c r="N126" s="18">
        <f>IF(M126="5",I126,0)</f>
        <v>0</v>
      </c>
      <c r="Y126" s="18">
        <f>IF(AC126=0,J126,0)</f>
        <v>0</v>
      </c>
      <c r="Z126" s="18">
        <f>IF(AC126=15,J126,0)</f>
        <v>0</v>
      </c>
      <c r="AA126" s="18">
        <f>IF(AC126=21,J126,0)</f>
        <v>0</v>
      </c>
      <c r="AC126" s="32">
        <v>21</v>
      </c>
      <c r="AD126" s="32">
        <f>G126*0</f>
        <v>0</v>
      </c>
      <c r="AE126" s="32">
        <f>G126*(1-0)</f>
        <v>0</v>
      </c>
      <c r="AL126" s="32">
        <f>F126*AD126</f>
        <v>0</v>
      </c>
      <c r="AM126" s="32">
        <f>F126*AE126</f>
        <v>0</v>
      </c>
      <c r="AN126" s="33" t="s">
        <v>350</v>
      </c>
      <c r="AO126" s="33" t="s">
        <v>357</v>
      </c>
      <c r="AP126" s="27" t="s">
        <v>358</v>
      </c>
    </row>
    <row r="127" spans="1:42" ht="12.75">
      <c r="A127" s="4" t="s">
        <v>76</v>
      </c>
      <c r="B127" s="4"/>
      <c r="C127" s="4" t="s">
        <v>167</v>
      </c>
      <c r="D127" s="4" t="s">
        <v>284</v>
      </c>
      <c r="E127" s="4" t="s">
        <v>296</v>
      </c>
      <c r="F127" s="18">
        <v>19.96</v>
      </c>
      <c r="G127" s="18">
        <v>0</v>
      </c>
      <c r="H127" s="18">
        <f>ROUND(F127*AD127,2)</f>
        <v>0</v>
      </c>
      <c r="I127" s="18">
        <f>J127-H127</f>
        <v>0</v>
      </c>
      <c r="J127" s="18">
        <f>ROUND(F127*G127,2)</f>
        <v>0</v>
      </c>
      <c r="K127" s="18">
        <v>0</v>
      </c>
      <c r="L127" s="18">
        <f>F127*K127</f>
        <v>0</v>
      </c>
      <c r="M127" s="28" t="s">
        <v>11</v>
      </c>
      <c r="N127" s="18">
        <f>IF(M127="5",I127,0)</f>
        <v>0</v>
      </c>
      <c r="Y127" s="18">
        <f>IF(AC127=0,J127,0)</f>
        <v>0</v>
      </c>
      <c r="Z127" s="18">
        <f>IF(AC127=15,J127,0)</f>
        <v>0</v>
      </c>
      <c r="AA127" s="18">
        <f>IF(AC127=21,J127,0)</f>
        <v>0</v>
      </c>
      <c r="AC127" s="32">
        <v>21</v>
      </c>
      <c r="AD127" s="32">
        <f>G127*0.00914225092826609</f>
        <v>0</v>
      </c>
      <c r="AE127" s="32">
        <f>G127*(1-0.00914225092826609)</f>
        <v>0</v>
      </c>
      <c r="AL127" s="32">
        <f>F127*AD127</f>
        <v>0</v>
      </c>
      <c r="AM127" s="32">
        <f>F127*AE127</f>
        <v>0</v>
      </c>
      <c r="AN127" s="33" t="s">
        <v>350</v>
      </c>
      <c r="AO127" s="33" t="s">
        <v>357</v>
      </c>
      <c r="AP127" s="27" t="s">
        <v>358</v>
      </c>
    </row>
    <row r="128" ht="25.5">
      <c r="D128" s="15" t="s">
        <v>285</v>
      </c>
    </row>
    <row r="129" spans="1:42" ht="12.75">
      <c r="A129" s="4" t="s">
        <v>77</v>
      </c>
      <c r="B129" s="4"/>
      <c r="C129" s="4" t="s">
        <v>168</v>
      </c>
      <c r="D129" s="4" t="s">
        <v>286</v>
      </c>
      <c r="E129" s="4" t="s">
        <v>296</v>
      </c>
      <c r="F129" s="18">
        <v>17.76</v>
      </c>
      <c r="G129" s="18">
        <v>0</v>
      </c>
      <c r="H129" s="18">
        <f>ROUND(F129*AD129,2)</f>
        <v>0</v>
      </c>
      <c r="I129" s="18">
        <f>J129-H129</f>
        <v>0</v>
      </c>
      <c r="J129" s="18">
        <f>ROUND(F129*G129,2)</f>
        <v>0</v>
      </c>
      <c r="K129" s="18">
        <v>0</v>
      </c>
      <c r="L129" s="18">
        <f>F129*K129</f>
        <v>0</v>
      </c>
      <c r="M129" s="28" t="s">
        <v>11</v>
      </c>
      <c r="N129" s="18">
        <f>IF(M129="5",I129,0)</f>
        <v>0</v>
      </c>
      <c r="Y129" s="18">
        <f>IF(AC129=0,J129,0)</f>
        <v>0</v>
      </c>
      <c r="Z129" s="18">
        <f>IF(AC129=15,J129,0)</f>
        <v>0</v>
      </c>
      <c r="AA129" s="18">
        <f>IF(AC129=21,J129,0)</f>
        <v>0</v>
      </c>
      <c r="AC129" s="32">
        <v>21</v>
      </c>
      <c r="AD129" s="32">
        <f>G129*0</f>
        <v>0</v>
      </c>
      <c r="AE129" s="32">
        <f>G129*(1-0)</f>
        <v>0</v>
      </c>
      <c r="AL129" s="32">
        <f>F129*AD129</f>
        <v>0</v>
      </c>
      <c r="AM129" s="32">
        <f>F129*AE129</f>
        <v>0</v>
      </c>
      <c r="AN129" s="33" t="s">
        <v>350</v>
      </c>
      <c r="AO129" s="33" t="s">
        <v>357</v>
      </c>
      <c r="AP129" s="27" t="s">
        <v>358</v>
      </c>
    </row>
    <row r="130" spans="1:42" ht="12.75">
      <c r="A130" s="4" t="s">
        <v>78</v>
      </c>
      <c r="B130" s="4"/>
      <c r="C130" s="4" t="s">
        <v>169</v>
      </c>
      <c r="D130" s="4" t="s">
        <v>287</v>
      </c>
      <c r="E130" s="4" t="s">
        <v>296</v>
      </c>
      <c r="F130" s="18">
        <v>199.6</v>
      </c>
      <c r="G130" s="18">
        <v>0</v>
      </c>
      <c r="H130" s="18">
        <f>ROUND(F130*AD130,2)</f>
        <v>0</v>
      </c>
      <c r="I130" s="18">
        <f>J130-H130</f>
        <v>0</v>
      </c>
      <c r="J130" s="18">
        <f>ROUND(F130*G130,2)</f>
        <v>0</v>
      </c>
      <c r="K130" s="18">
        <v>0</v>
      </c>
      <c r="L130" s="18">
        <f>F130*K130</f>
        <v>0</v>
      </c>
      <c r="M130" s="28" t="s">
        <v>11</v>
      </c>
      <c r="N130" s="18">
        <f>IF(M130="5",I130,0)</f>
        <v>0</v>
      </c>
      <c r="Y130" s="18">
        <f>IF(AC130=0,J130,0)</f>
        <v>0</v>
      </c>
      <c r="Z130" s="18">
        <f>IF(AC130=15,J130,0)</f>
        <v>0</v>
      </c>
      <c r="AA130" s="18">
        <f>IF(AC130=21,J130,0)</f>
        <v>0</v>
      </c>
      <c r="AC130" s="32">
        <v>21</v>
      </c>
      <c r="AD130" s="32">
        <f>G130*0</f>
        <v>0</v>
      </c>
      <c r="AE130" s="32">
        <f>G130*(1-0)</f>
        <v>0</v>
      </c>
      <c r="AL130" s="32">
        <f>F130*AD130</f>
        <v>0</v>
      </c>
      <c r="AM130" s="32">
        <f>F130*AE130</f>
        <v>0</v>
      </c>
      <c r="AN130" s="33" t="s">
        <v>350</v>
      </c>
      <c r="AO130" s="33" t="s">
        <v>357</v>
      </c>
      <c r="AP130" s="27" t="s">
        <v>358</v>
      </c>
    </row>
    <row r="131" ht="12.75">
      <c r="D131" s="15" t="s">
        <v>288</v>
      </c>
    </row>
    <row r="132" spans="1:42" ht="12.75">
      <c r="A132" s="7" t="s">
        <v>79</v>
      </c>
      <c r="B132" s="7"/>
      <c r="C132" s="7" t="s">
        <v>170</v>
      </c>
      <c r="D132" s="7" t="s">
        <v>289</v>
      </c>
      <c r="E132" s="7" t="s">
        <v>296</v>
      </c>
      <c r="F132" s="20">
        <v>19.96</v>
      </c>
      <c r="G132" s="20">
        <v>0</v>
      </c>
      <c r="H132" s="20">
        <f>ROUND(F132*AD132,2)</f>
        <v>0</v>
      </c>
      <c r="I132" s="20">
        <f>J132-H132</f>
        <v>0</v>
      </c>
      <c r="J132" s="20">
        <f>ROUND(F132*G132,2)</f>
        <v>0</v>
      </c>
      <c r="K132" s="20">
        <v>0</v>
      </c>
      <c r="L132" s="20">
        <f>F132*K132</f>
        <v>0</v>
      </c>
      <c r="M132" s="28" t="s">
        <v>7</v>
      </c>
      <c r="N132" s="18">
        <f>IF(M132="5",I132,0)</f>
        <v>0</v>
      </c>
      <c r="Y132" s="18">
        <f>IF(AC132=0,J132,0)</f>
        <v>0</v>
      </c>
      <c r="Z132" s="18">
        <f>IF(AC132=15,J132,0)</f>
        <v>0</v>
      </c>
      <c r="AA132" s="18">
        <f>IF(AC132=21,J132,0)</f>
        <v>0</v>
      </c>
      <c r="AC132" s="32">
        <v>21</v>
      </c>
      <c r="AD132" s="32">
        <f>G132*0</f>
        <v>0</v>
      </c>
      <c r="AE132" s="32">
        <f>G132*(1-0)</f>
        <v>0</v>
      </c>
      <c r="AL132" s="32">
        <f>F132*AD132</f>
        <v>0</v>
      </c>
      <c r="AM132" s="32">
        <f>F132*AE132</f>
        <v>0</v>
      </c>
      <c r="AN132" s="33" t="s">
        <v>350</v>
      </c>
      <c r="AO132" s="33" t="s">
        <v>357</v>
      </c>
      <c r="AP132" s="27" t="s">
        <v>358</v>
      </c>
    </row>
    <row r="133" spans="1:27" ht="12.75">
      <c r="A133" s="8"/>
      <c r="B133" s="8"/>
      <c r="C133" s="8"/>
      <c r="D133" s="8"/>
      <c r="E133" s="8"/>
      <c r="F133" s="8"/>
      <c r="G133" s="8"/>
      <c r="H133" s="121" t="s">
        <v>307</v>
      </c>
      <c r="I133" s="74"/>
      <c r="J133" s="36">
        <f>J12+J15+J21+J26+J30+J44+J52+J58+J80+J89+J94+J98+J101+J108+J113+J115+J117+J119+J121+J123+J125</f>
        <v>0</v>
      </c>
      <c r="K133" s="8"/>
      <c r="L133" s="8"/>
      <c r="Y133" s="37">
        <f>SUM(Y13:Y132)</f>
        <v>0</v>
      </c>
      <c r="Z133" s="37">
        <f>SUM(Z13:Z132)</f>
        <v>0</v>
      </c>
      <c r="AA133" s="37">
        <f>SUM(AA13:AA132)</f>
        <v>0</v>
      </c>
    </row>
    <row r="134" ht="11.25" customHeight="1">
      <c r="A134" s="9" t="s">
        <v>80</v>
      </c>
    </row>
    <row r="135" spans="1:12" ht="12.75">
      <c r="A135" s="80" t="s">
        <v>81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</sheetData>
  <sheetProtection/>
  <mergeCells count="50">
    <mergeCell ref="A135:L135"/>
    <mergeCell ref="D117:G117"/>
    <mergeCell ref="D119:G119"/>
    <mergeCell ref="D121:G121"/>
    <mergeCell ref="D123:G123"/>
    <mergeCell ref="D125:G125"/>
    <mergeCell ref="H133:I133"/>
    <mergeCell ref="D94:G94"/>
    <mergeCell ref="D98:G98"/>
    <mergeCell ref="D101:G101"/>
    <mergeCell ref="D108:G108"/>
    <mergeCell ref="D113:G113"/>
    <mergeCell ref="D115:G115"/>
    <mergeCell ref="D30:G30"/>
    <mergeCell ref="D44:G44"/>
    <mergeCell ref="D52:G52"/>
    <mergeCell ref="D58:G58"/>
    <mergeCell ref="D80:G80"/>
    <mergeCell ref="D89:G89"/>
    <mergeCell ref="H10:J10"/>
    <mergeCell ref="K10:L10"/>
    <mergeCell ref="D12:G12"/>
    <mergeCell ref="D15:G15"/>
    <mergeCell ref="D21:G21"/>
    <mergeCell ref="D26:G26"/>
    <mergeCell ref="A8:C9"/>
    <mergeCell ref="D8:D9"/>
    <mergeCell ref="E8:F9"/>
    <mergeCell ref="G8:H9"/>
    <mergeCell ref="I8:I9"/>
    <mergeCell ref="J8:L9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I4:I5"/>
    <mergeCell ref="J4:L5"/>
    <mergeCell ref="A1:L1"/>
    <mergeCell ref="A2:C3"/>
    <mergeCell ref="D2:D3"/>
    <mergeCell ref="E2:F3"/>
    <mergeCell ref="G2:H3"/>
    <mergeCell ref="I2:I3"/>
    <mergeCell ref="J2:L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zoomScalePageLayoutView="0" workbookViewId="0" topLeftCell="A1">
      <selection activeCell="H12" sqref="H12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59.421875" style="0" customWidth="1"/>
    <col min="5" max="5" width="14.57421875" style="0" customWidth="1"/>
    <col min="6" max="6" width="24.140625" style="0" customWidth="1"/>
    <col min="7" max="7" width="20.421875" style="0" customWidth="1"/>
  </cols>
  <sheetData>
    <row r="1" spans="1:7" ht="72.75" customHeight="1">
      <c r="A1" s="107" t="s">
        <v>366</v>
      </c>
      <c r="B1" s="108"/>
      <c r="C1" s="108"/>
      <c r="D1" s="108"/>
      <c r="E1" s="108"/>
      <c r="F1" s="108"/>
      <c r="G1" s="108"/>
    </row>
    <row r="2" spans="1:8" ht="12.75">
      <c r="A2" s="69" t="s">
        <v>1</v>
      </c>
      <c r="B2" s="70"/>
      <c r="C2" s="73" t="s">
        <v>171</v>
      </c>
      <c r="D2" s="74"/>
      <c r="E2" s="76" t="s">
        <v>308</v>
      </c>
      <c r="F2" s="76" t="s">
        <v>313</v>
      </c>
      <c r="G2" s="70"/>
      <c r="H2" s="30"/>
    </row>
    <row r="3" spans="1:8" ht="12.75">
      <c r="A3" s="71"/>
      <c r="B3" s="72"/>
      <c r="C3" s="75"/>
      <c r="D3" s="75"/>
      <c r="E3" s="72"/>
      <c r="F3" s="72"/>
      <c r="G3" s="72"/>
      <c r="H3" s="30"/>
    </row>
    <row r="4" spans="1:8" ht="12.75">
      <c r="A4" s="79" t="s">
        <v>2</v>
      </c>
      <c r="B4" s="72"/>
      <c r="C4" s="80" t="s">
        <v>172</v>
      </c>
      <c r="D4" s="72"/>
      <c r="E4" s="80" t="s">
        <v>309</v>
      </c>
      <c r="F4" s="80" t="s">
        <v>314</v>
      </c>
      <c r="G4" s="72"/>
      <c r="H4" s="30"/>
    </row>
    <row r="5" spans="1:8" ht="12.75">
      <c r="A5" s="71"/>
      <c r="B5" s="72"/>
      <c r="C5" s="72"/>
      <c r="D5" s="72"/>
      <c r="E5" s="72"/>
      <c r="F5" s="72"/>
      <c r="G5" s="72"/>
      <c r="H5" s="30"/>
    </row>
    <row r="6" spans="1:8" ht="12.75">
      <c r="A6" s="79" t="s">
        <v>3</v>
      </c>
      <c r="B6" s="72"/>
      <c r="C6" s="80" t="s">
        <v>173</v>
      </c>
      <c r="D6" s="72"/>
      <c r="E6" s="80" t="s">
        <v>310</v>
      </c>
      <c r="F6" s="80"/>
      <c r="G6" s="72"/>
      <c r="H6" s="30"/>
    </row>
    <row r="7" spans="1:8" ht="12.75">
      <c r="A7" s="71"/>
      <c r="B7" s="72"/>
      <c r="C7" s="72"/>
      <c r="D7" s="72"/>
      <c r="E7" s="72"/>
      <c r="F7" s="72"/>
      <c r="G7" s="72"/>
      <c r="H7" s="30"/>
    </row>
    <row r="8" spans="1:8" ht="12.75">
      <c r="A8" s="79" t="s">
        <v>311</v>
      </c>
      <c r="B8" s="72"/>
      <c r="C8" s="80" t="s">
        <v>315</v>
      </c>
      <c r="D8" s="72"/>
      <c r="E8" s="83" t="s">
        <v>293</v>
      </c>
      <c r="F8" s="82">
        <v>42574</v>
      </c>
      <c r="G8" s="72"/>
      <c r="H8" s="30"/>
    </row>
    <row r="9" spans="1:8" ht="12.75">
      <c r="A9" s="110"/>
      <c r="B9" s="111"/>
      <c r="C9" s="111"/>
      <c r="D9" s="111"/>
      <c r="E9" s="111"/>
      <c r="F9" s="111"/>
      <c r="G9" s="111"/>
      <c r="H9" s="30"/>
    </row>
    <row r="10" spans="1:8" ht="12.75">
      <c r="A10" s="40" t="s">
        <v>5</v>
      </c>
      <c r="B10" s="41" t="s">
        <v>82</v>
      </c>
      <c r="C10" s="41" t="s">
        <v>83</v>
      </c>
      <c r="D10" s="41" t="s">
        <v>174</v>
      </c>
      <c r="E10" s="41" t="s">
        <v>294</v>
      </c>
      <c r="F10" s="41" t="s">
        <v>175</v>
      </c>
      <c r="G10" s="48" t="s">
        <v>302</v>
      </c>
      <c r="H10" s="31"/>
    </row>
    <row r="11" spans="1:7" ht="12.75">
      <c r="A11" s="47" t="s">
        <v>7</v>
      </c>
      <c r="B11" s="47"/>
      <c r="C11" s="47" t="s">
        <v>84</v>
      </c>
      <c r="D11" s="47" t="s">
        <v>177</v>
      </c>
      <c r="E11" s="47" t="s">
        <v>295</v>
      </c>
      <c r="F11" s="47" t="s">
        <v>367</v>
      </c>
      <c r="G11" s="49">
        <v>39.86</v>
      </c>
    </row>
    <row r="12" ht="12.75">
      <c r="D12" s="15" t="s">
        <v>178</v>
      </c>
    </row>
    <row r="13" spans="1:7" ht="12.75">
      <c r="A13" s="4" t="s">
        <v>8</v>
      </c>
      <c r="B13" s="4"/>
      <c r="C13" s="4" t="s">
        <v>85</v>
      </c>
      <c r="D13" s="4" t="s">
        <v>180</v>
      </c>
      <c r="E13" s="4" t="s">
        <v>296</v>
      </c>
      <c r="F13" s="4" t="s">
        <v>368</v>
      </c>
      <c r="G13" s="18">
        <v>1.41</v>
      </c>
    </row>
    <row r="14" ht="51">
      <c r="D14" s="15" t="s">
        <v>181</v>
      </c>
    </row>
    <row r="15" spans="1:7" ht="12.75">
      <c r="A15" s="4"/>
      <c r="B15" s="4"/>
      <c r="C15" s="4"/>
      <c r="D15" s="4"/>
      <c r="E15" s="4"/>
      <c r="F15" s="4" t="s">
        <v>369</v>
      </c>
      <c r="G15" s="18">
        <v>0.14</v>
      </c>
    </row>
    <row r="16" spans="1:7" ht="12.75">
      <c r="A16" s="4" t="s">
        <v>9</v>
      </c>
      <c r="B16" s="4"/>
      <c r="C16" s="4" t="s">
        <v>86</v>
      </c>
      <c r="D16" s="4" t="s">
        <v>182</v>
      </c>
      <c r="E16" s="4" t="s">
        <v>296</v>
      </c>
      <c r="F16" s="4" t="s">
        <v>370</v>
      </c>
      <c r="G16" s="18">
        <v>0.13</v>
      </c>
    </row>
    <row r="17" ht="12.75">
      <c r="D17" s="15" t="s">
        <v>183</v>
      </c>
    </row>
    <row r="18" spans="1:7" ht="12.75">
      <c r="A18" s="4" t="s">
        <v>10</v>
      </c>
      <c r="B18" s="4"/>
      <c r="C18" s="4" t="s">
        <v>87</v>
      </c>
      <c r="D18" s="4" t="s">
        <v>184</v>
      </c>
      <c r="E18" s="4" t="s">
        <v>297</v>
      </c>
      <c r="F18" s="4" t="s">
        <v>371</v>
      </c>
      <c r="G18" s="18">
        <v>42.96</v>
      </c>
    </row>
    <row r="19" spans="1:7" ht="12.75">
      <c r="A19" s="4"/>
      <c r="B19" s="4"/>
      <c r="C19" s="4"/>
      <c r="D19" s="4"/>
      <c r="E19" s="4"/>
      <c r="F19" s="4" t="s">
        <v>372</v>
      </c>
      <c r="G19" s="18">
        <v>3.36</v>
      </c>
    </row>
    <row r="20" spans="1:7" ht="12.75">
      <c r="A20" s="4" t="s">
        <v>11</v>
      </c>
      <c r="B20" s="4"/>
      <c r="C20" s="4" t="s">
        <v>88</v>
      </c>
      <c r="D20" s="4" t="s">
        <v>186</v>
      </c>
      <c r="E20" s="4" t="s">
        <v>295</v>
      </c>
      <c r="F20" s="4" t="s">
        <v>373</v>
      </c>
      <c r="G20" s="18">
        <v>14.8</v>
      </c>
    </row>
    <row r="21" ht="12.75">
      <c r="D21" s="15" t="s">
        <v>187</v>
      </c>
    </row>
    <row r="22" spans="1:7" ht="12.75">
      <c r="A22" s="4" t="s">
        <v>12</v>
      </c>
      <c r="B22" s="4"/>
      <c r="C22" s="4" t="s">
        <v>89</v>
      </c>
      <c r="D22" s="4" t="s">
        <v>188</v>
      </c>
      <c r="E22" s="4" t="s">
        <v>295</v>
      </c>
      <c r="F22" s="4" t="s">
        <v>11</v>
      </c>
      <c r="G22" s="18">
        <v>5</v>
      </c>
    </row>
    <row r="23" spans="1:7" ht="12.75">
      <c r="A23" s="4" t="s">
        <v>13</v>
      </c>
      <c r="B23" s="4"/>
      <c r="C23" s="4" t="s">
        <v>90</v>
      </c>
      <c r="D23" s="4" t="s">
        <v>189</v>
      </c>
      <c r="E23" s="4" t="s">
        <v>297</v>
      </c>
      <c r="F23" s="4" t="s">
        <v>374</v>
      </c>
      <c r="G23" s="18">
        <v>31.25</v>
      </c>
    </row>
    <row r="24" spans="1:7" ht="12.75">
      <c r="A24" s="4"/>
      <c r="B24" s="4"/>
      <c r="C24" s="4"/>
      <c r="D24" s="4"/>
      <c r="E24" s="4"/>
      <c r="F24" s="4" t="s">
        <v>375</v>
      </c>
      <c r="G24" s="18">
        <v>1.65</v>
      </c>
    </row>
    <row r="25" spans="1:7" ht="12.75">
      <c r="A25" s="4" t="s">
        <v>14</v>
      </c>
      <c r="B25" s="4"/>
      <c r="C25" s="4" t="s">
        <v>91</v>
      </c>
      <c r="D25" s="4" t="s">
        <v>191</v>
      </c>
      <c r="E25" s="4" t="s">
        <v>298</v>
      </c>
      <c r="F25" s="4" t="s">
        <v>7</v>
      </c>
      <c r="G25" s="18">
        <v>1</v>
      </c>
    </row>
    <row r="26" ht="25.5">
      <c r="D26" s="15" t="s">
        <v>192</v>
      </c>
    </row>
    <row r="27" spans="1:7" ht="12.75">
      <c r="A27" s="6" t="s">
        <v>15</v>
      </c>
      <c r="B27" s="6"/>
      <c r="C27" s="6" t="s">
        <v>92</v>
      </c>
      <c r="D27" s="6" t="s">
        <v>193</v>
      </c>
      <c r="E27" s="6" t="s">
        <v>298</v>
      </c>
      <c r="F27" s="6" t="s">
        <v>7</v>
      </c>
      <c r="G27" s="19">
        <v>1</v>
      </c>
    </row>
    <row r="28" spans="1:7" ht="12.75">
      <c r="A28" s="4" t="s">
        <v>16</v>
      </c>
      <c r="B28" s="4"/>
      <c r="C28" s="4" t="s">
        <v>94</v>
      </c>
      <c r="D28" s="4" t="s">
        <v>195</v>
      </c>
      <c r="E28" s="4" t="s">
        <v>295</v>
      </c>
      <c r="F28" s="4" t="s">
        <v>376</v>
      </c>
      <c r="G28" s="18">
        <v>187.22</v>
      </c>
    </row>
    <row r="29" spans="1:7" ht="12.75">
      <c r="A29" s="4"/>
      <c r="B29" s="4"/>
      <c r="C29" s="4"/>
      <c r="D29" s="4"/>
      <c r="E29" s="4"/>
      <c r="F29" s="4" t="s">
        <v>377</v>
      </c>
      <c r="G29" s="18">
        <v>23.7</v>
      </c>
    </row>
    <row r="30" spans="1:7" ht="12.75">
      <c r="A30" s="4"/>
      <c r="B30" s="4"/>
      <c r="C30" s="4"/>
      <c r="D30" s="4"/>
      <c r="E30" s="4"/>
      <c r="F30" s="4" t="s">
        <v>378</v>
      </c>
      <c r="G30" s="18">
        <v>5.85</v>
      </c>
    </row>
    <row r="31" spans="1:7" ht="12.75">
      <c r="A31" s="4" t="s">
        <v>17</v>
      </c>
      <c r="B31" s="4"/>
      <c r="C31" s="4" t="s">
        <v>95</v>
      </c>
      <c r="D31" s="4" t="s">
        <v>196</v>
      </c>
      <c r="E31" s="4" t="s">
        <v>295</v>
      </c>
      <c r="F31" s="4" t="s">
        <v>379</v>
      </c>
      <c r="G31" s="18">
        <v>197.8</v>
      </c>
    </row>
    <row r="32" ht="12.75">
      <c r="D32" s="15" t="s">
        <v>197</v>
      </c>
    </row>
    <row r="33" spans="1:7" ht="12.75">
      <c r="A33" s="4"/>
      <c r="B33" s="4"/>
      <c r="C33" s="4"/>
      <c r="D33" s="4"/>
      <c r="E33" s="4"/>
      <c r="F33" s="4" t="s">
        <v>380</v>
      </c>
      <c r="G33" s="18">
        <v>-35.34</v>
      </c>
    </row>
    <row r="34" spans="1:7" ht="12.75">
      <c r="A34" s="4"/>
      <c r="B34" s="4"/>
      <c r="C34" s="4"/>
      <c r="D34" s="4"/>
      <c r="E34" s="4"/>
      <c r="F34" s="4" t="s">
        <v>373</v>
      </c>
      <c r="G34" s="18">
        <v>14.8</v>
      </c>
    </row>
    <row r="35" spans="1:7" ht="12.75">
      <c r="A35" s="4"/>
      <c r="B35" s="4"/>
      <c r="C35" s="4"/>
      <c r="D35" s="4"/>
      <c r="E35" s="4"/>
      <c r="F35" s="4" t="s">
        <v>381</v>
      </c>
      <c r="G35" s="18">
        <v>24.3</v>
      </c>
    </row>
    <row r="36" spans="1:7" ht="12.75">
      <c r="A36" s="4" t="s">
        <v>18</v>
      </c>
      <c r="B36" s="4"/>
      <c r="C36" s="4" t="s">
        <v>96</v>
      </c>
      <c r="D36" s="4" t="s">
        <v>198</v>
      </c>
      <c r="E36" s="4" t="s">
        <v>295</v>
      </c>
      <c r="F36" s="4" t="s">
        <v>382</v>
      </c>
      <c r="G36" s="18">
        <v>197.8</v>
      </c>
    </row>
    <row r="37" ht="12.75">
      <c r="D37" s="15" t="s">
        <v>199</v>
      </c>
    </row>
    <row r="38" spans="1:7" ht="12.75">
      <c r="A38" s="6" t="s">
        <v>19</v>
      </c>
      <c r="B38" s="6"/>
      <c r="C38" s="6" t="s">
        <v>97</v>
      </c>
      <c r="D38" s="6" t="s">
        <v>200</v>
      </c>
      <c r="E38" s="6" t="s">
        <v>295</v>
      </c>
      <c r="F38" s="6" t="s">
        <v>382</v>
      </c>
      <c r="G38" s="19">
        <v>225.49</v>
      </c>
    </row>
    <row r="39" spans="1:7" ht="12.75">
      <c r="A39" s="6"/>
      <c r="B39" s="6"/>
      <c r="C39" s="6"/>
      <c r="D39" s="6"/>
      <c r="E39" s="6"/>
      <c r="F39" s="6" t="s">
        <v>383</v>
      </c>
      <c r="G39" s="19">
        <v>27.69</v>
      </c>
    </row>
    <row r="40" spans="1:7" ht="12.75">
      <c r="A40" s="4" t="s">
        <v>20</v>
      </c>
      <c r="B40" s="4"/>
      <c r="C40" s="4" t="s">
        <v>98</v>
      </c>
      <c r="D40" s="4" t="s">
        <v>201</v>
      </c>
      <c r="E40" s="4" t="s">
        <v>295</v>
      </c>
      <c r="F40" s="4" t="s">
        <v>384</v>
      </c>
      <c r="G40" s="18">
        <v>184.06</v>
      </c>
    </row>
    <row r="41" ht="38.25">
      <c r="D41" s="15" t="s">
        <v>202</v>
      </c>
    </row>
    <row r="42" spans="1:7" ht="12.75">
      <c r="A42" s="4"/>
      <c r="B42" s="4"/>
      <c r="C42" s="4"/>
      <c r="D42" s="4"/>
      <c r="E42" s="4"/>
      <c r="F42" s="4" t="s">
        <v>385</v>
      </c>
      <c r="G42" s="18">
        <v>-35.34</v>
      </c>
    </row>
    <row r="43" spans="1:7" ht="12.75">
      <c r="A43" s="4"/>
      <c r="B43" s="4"/>
      <c r="C43" s="4"/>
      <c r="D43" s="4"/>
      <c r="E43" s="4"/>
      <c r="F43" s="4" t="s">
        <v>386</v>
      </c>
      <c r="G43" s="18">
        <v>5.92</v>
      </c>
    </row>
    <row r="44" spans="1:7" ht="12.75">
      <c r="A44" s="4"/>
      <c r="B44" s="4"/>
      <c r="C44" s="4"/>
      <c r="D44" s="4"/>
      <c r="E44" s="4"/>
      <c r="F44" s="4" t="s">
        <v>387</v>
      </c>
      <c r="G44" s="18">
        <v>19.44</v>
      </c>
    </row>
    <row r="45" spans="1:7" ht="12.75">
      <c r="A45" s="6" t="s">
        <v>21</v>
      </c>
      <c r="B45" s="6"/>
      <c r="C45" s="6" t="s">
        <v>99</v>
      </c>
      <c r="D45" s="6" t="s">
        <v>203</v>
      </c>
      <c r="E45" s="6" t="s">
        <v>295</v>
      </c>
      <c r="F45" s="6" t="s">
        <v>388</v>
      </c>
      <c r="G45" s="19">
        <v>198.78</v>
      </c>
    </row>
    <row r="46" spans="1:7" ht="12.75">
      <c r="A46" s="6"/>
      <c r="B46" s="6"/>
      <c r="C46" s="6"/>
      <c r="D46" s="6"/>
      <c r="E46" s="6"/>
      <c r="F46" s="6" t="s">
        <v>389</v>
      </c>
      <c r="G46" s="19">
        <v>14.72</v>
      </c>
    </row>
    <row r="47" spans="1:7" ht="12.75">
      <c r="A47" s="4" t="s">
        <v>22</v>
      </c>
      <c r="B47" s="4"/>
      <c r="C47" s="4" t="s">
        <v>100</v>
      </c>
      <c r="D47" s="4" t="s">
        <v>204</v>
      </c>
      <c r="E47" s="4" t="s">
        <v>295</v>
      </c>
      <c r="F47" s="4" t="s">
        <v>388</v>
      </c>
      <c r="G47" s="18">
        <v>184.06</v>
      </c>
    </row>
    <row r="48" spans="1:7" ht="12.75">
      <c r="A48" s="6" t="s">
        <v>23</v>
      </c>
      <c r="B48" s="6"/>
      <c r="C48" s="6" t="s">
        <v>101</v>
      </c>
      <c r="D48" s="6" t="s">
        <v>205</v>
      </c>
      <c r="E48" s="6" t="s">
        <v>295</v>
      </c>
      <c r="F48" s="6" t="s">
        <v>388</v>
      </c>
      <c r="G48" s="19">
        <v>198.78</v>
      </c>
    </row>
    <row r="49" spans="1:7" ht="12.75">
      <c r="A49" s="6"/>
      <c r="B49" s="6"/>
      <c r="C49" s="6"/>
      <c r="D49" s="6"/>
      <c r="E49" s="6"/>
      <c r="F49" s="6" t="s">
        <v>389</v>
      </c>
      <c r="G49" s="19">
        <v>14.72</v>
      </c>
    </row>
    <row r="50" spans="1:7" ht="12.75">
      <c r="A50" s="4" t="s">
        <v>24</v>
      </c>
      <c r="B50" s="4"/>
      <c r="C50" s="4" t="s">
        <v>102</v>
      </c>
      <c r="D50" s="4" t="s">
        <v>206</v>
      </c>
      <c r="E50" s="4" t="s">
        <v>298</v>
      </c>
      <c r="F50" s="4" t="s">
        <v>17</v>
      </c>
      <c r="G50" s="18">
        <v>11</v>
      </c>
    </row>
    <row r="51" ht="12.75">
      <c r="D51" s="15" t="s">
        <v>207</v>
      </c>
    </row>
    <row r="52" spans="1:7" ht="12.75">
      <c r="A52" s="4" t="s">
        <v>25</v>
      </c>
      <c r="B52" s="4"/>
      <c r="C52" s="4" t="s">
        <v>104</v>
      </c>
      <c r="D52" s="4" t="s">
        <v>209</v>
      </c>
      <c r="E52" s="4" t="s">
        <v>295</v>
      </c>
      <c r="F52" s="4" t="s">
        <v>390</v>
      </c>
      <c r="G52" s="18">
        <v>157.67</v>
      </c>
    </row>
    <row r="53" spans="1:7" ht="12.75">
      <c r="A53" s="4"/>
      <c r="B53" s="4"/>
      <c r="C53" s="4"/>
      <c r="D53" s="4"/>
      <c r="E53" s="4"/>
      <c r="F53" s="4" t="s">
        <v>391</v>
      </c>
      <c r="G53" s="18">
        <v>-32.94</v>
      </c>
    </row>
    <row r="54" spans="1:7" ht="12.75">
      <c r="A54" s="4" t="s">
        <v>26</v>
      </c>
      <c r="B54" s="4"/>
      <c r="C54" s="4" t="s">
        <v>105</v>
      </c>
      <c r="D54" s="4" t="s">
        <v>210</v>
      </c>
      <c r="E54" s="4" t="s">
        <v>295</v>
      </c>
      <c r="F54" s="4" t="s">
        <v>392</v>
      </c>
      <c r="G54" s="18">
        <v>359.48</v>
      </c>
    </row>
    <row r="55" spans="1:7" ht="12.75">
      <c r="A55" s="4"/>
      <c r="B55" s="4"/>
      <c r="C55" s="4"/>
      <c r="D55" s="4"/>
      <c r="E55" s="4"/>
      <c r="F55" s="4" t="s">
        <v>393</v>
      </c>
      <c r="G55" s="18">
        <v>-35.34</v>
      </c>
    </row>
    <row r="56" spans="1:7" ht="12.75">
      <c r="A56" s="4"/>
      <c r="B56" s="4"/>
      <c r="C56" s="4"/>
      <c r="D56" s="4"/>
      <c r="E56" s="4"/>
      <c r="F56" s="4" t="s">
        <v>394</v>
      </c>
      <c r="G56" s="18">
        <v>17.01</v>
      </c>
    </row>
    <row r="57" spans="1:7" ht="12.75">
      <c r="A57" s="4"/>
      <c r="B57" s="4"/>
      <c r="C57" s="4"/>
      <c r="D57" s="4"/>
      <c r="E57" s="4"/>
      <c r="F57" s="4" t="s">
        <v>395</v>
      </c>
      <c r="G57" s="18">
        <v>7.92</v>
      </c>
    </row>
    <row r="58" spans="1:7" ht="12.75">
      <c r="A58" s="4"/>
      <c r="B58" s="4"/>
      <c r="C58" s="4"/>
      <c r="D58" s="4"/>
      <c r="E58" s="4"/>
      <c r="F58" s="4" t="s">
        <v>396</v>
      </c>
      <c r="G58" s="18">
        <v>2.35</v>
      </c>
    </row>
    <row r="59" spans="1:7" ht="12.75">
      <c r="A59" s="6" t="s">
        <v>27</v>
      </c>
      <c r="B59" s="6"/>
      <c r="C59" s="6" t="s">
        <v>106</v>
      </c>
      <c r="D59" s="6" t="s">
        <v>211</v>
      </c>
      <c r="E59" s="6" t="s">
        <v>295</v>
      </c>
      <c r="F59" s="6" t="s">
        <v>397</v>
      </c>
      <c r="G59" s="19">
        <v>151.4</v>
      </c>
    </row>
    <row r="60" spans="1:7" ht="12.75">
      <c r="A60" s="6"/>
      <c r="B60" s="6"/>
      <c r="C60" s="6"/>
      <c r="D60" s="6"/>
      <c r="E60" s="6"/>
      <c r="F60" s="6" t="s">
        <v>393</v>
      </c>
      <c r="G60" s="19">
        <v>-35.34</v>
      </c>
    </row>
    <row r="61" spans="1:7" ht="12.75">
      <c r="A61" s="6"/>
      <c r="B61" s="6"/>
      <c r="C61" s="6"/>
      <c r="D61" s="6"/>
      <c r="E61" s="6"/>
      <c r="F61" s="6" t="s">
        <v>398</v>
      </c>
      <c r="G61" s="19">
        <v>2.97</v>
      </c>
    </row>
    <row r="62" spans="1:7" ht="12.75">
      <c r="A62" s="6" t="s">
        <v>28</v>
      </c>
      <c r="B62" s="6"/>
      <c r="C62" s="6" t="s">
        <v>107</v>
      </c>
      <c r="D62" s="6" t="s">
        <v>212</v>
      </c>
      <c r="E62" s="6" t="s">
        <v>295</v>
      </c>
      <c r="F62" s="6" t="s">
        <v>399</v>
      </c>
      <c r="G62" s="19">
        <v>151.4</v>
      </c>
    </row>
    <row r="63" spans="1:7" ht="12.75">
      <c r="A63" s="6"/>
      <c r="B63" s="6"/>
      <c r="C63" s="6"/>
      <c r="D63" s="6"/>
      <c r="E63" s="6"/>
      <c r="F63" s="6" t="s">
        <v>398</v>
      </c>
      <c r="G63" s="19">
        <v>2.97</v>
      </c>
    </row>
    <row r="64" spans="1:7" ht="12.75">
      <c r="A64" s="6" t="s">
        <v>29</v>
      </c>
      <c r="B64" s="6"/>
      <c r="C64" s="6" t="s">
        <v>108</v>
      </c>
      <c r="D64" s="6" t="s">
        <v>213</v>
      </c>
      <c r="E64" s="6" t="s">
        <v>295</v>
      </c>
      <c r="F64" s="6" t="s">
        <v>395</v>
      </c>
      <c r="G64" s="19">
        <v>8.55</v>
      </c>
    </row>
    <row r="65" spans="1:7" ht="12.75">
      <c r="A65" s="6"/>
      <c r="B65" s="6"/>
      <c r="C65" s="6"/>
      <c r="D65" s="6"/>
      <c r="E65" s="6"/>
      <c r="F65" s="6" t="s">
        <v>400</v>
      </c>
      <c r="G65" s="19">
        <v>0.63</v>
      </c>
    </row>
    <row r="66" spans="1:7" ht="12.75">
      <c r="A66" s="6" t="s">
        <v>30</v>
      </c>
      <c r="B66" s="6"/>
      <c r="C66" s="6" t="s">
        <v>109</v>
      </c>
      <c r="D66" s="6" t="s">
        <v>214</v>
      </c>
      <c r="E66" s="6" t="s">
        <v>295</v>
      </c>
      <c r="F66" s="6" t="s">
        <v>401</v>
      </c>
      <c r="G66" s="19">
        <v>2.54</v>
      </c>
    </row>
    <row r="67" spans="1:7" ht="12.75">
      <c r="A67" s="6"/>
      <c r="B67" s="6"/>
      <c r="C67" s="6"/>
      <c r="D67" s="6"/>
      <c r="E67" s="6"/>
      <c r="F67" s="6" t="s">
        <v>402</v>
      </c>
      <c r="G67" s="19">
        <v>0.19</v>
      </c>
    </row>
    <row r="68" spans="1:7" ht="12.75">
      <c r="A68" s="6" t="s">
        <v>31</v>
      </c>
      <c r="B68" s="6"/>
      <c r="C68" s="6" t="s">
        <v>110</v>
      </c>
      <c r="D68" s="6" t="s">
        <v>215</v>
      </c>
      <c r="E68" s="6" t="s">
        <v>295</v>
      </c>
      <c r="F68" s="6" t="s">
        <v>403</v>
      </c>
      <c r="G68" s="19">
        <v>18.37</v>
      </c>
    </row>
    <row r="69" spans="1:7" ht="12.75">
      <c r="A69" s="6"/>
      <c r="B69" s="6"/>
      <c r="C69" s="6"/>
      <c r="D69" s="6"/>
      <c r="E69" s="6"/>
      <c r="F69" s="6" t="s">
        <v>404</v>
      </c>
      <c r="G69" s="19">
        <v>1.36</v>
      </c>
    </row>
    <row r="70" spans="1:7" ht="12.75">
      <c r="A70" s="4" t="s">
        <v>32</v>
      </c>
      <c r="B70" s="4"/>
      <c r="C70" s="4" t="s">
        <v>112</v>
      </c>
      <c r="D70" s="4" t="s">
        <v>217</v>
      </c>
      <c r="E70" s="4" t="s">
        <v>295</v>
      </c>
      <c r="F70" s="4" t="s">
        <v>405</v>
      </c>
      <c r="G70" s="18">
        <v>7.92</v>
      </c>
    </row>
    <row r="71" spans="1:7" ht="12.75">
      <c r="A71" s="4" t="s">
        <v>33</v>
      </c>
      <c r="B71" s="4"/>
      <c r="C71" s="4" t="s">
        <v>113</v>
      </c>
      <c r="D71" s="4" t="s">
        <v>218</v>
      </c>
      <c r="E71" s="4" t="s">
        <v>295</v>
      </c>
      <c r="F71" s="4" t="s">
        <v>406</v>
      </c>
      <c r="G71" s="18">
        <v>10.37</v>
      </c>
    </row>
    <row r="72" spans="1:7" ht="12.75">
      <c r="A72" s="4" t="s">
        <v>34</v>
      </c>
      <c r="B72" s="4"/>
      <c r="C72" s="4" t="s">
        <v>114</v>
      </c>
      <c r="D72" s="4" t="s">
        <v>219</v>
      </c>
      <c r="E72" s="4" t="s">
        <v>295</v>
      </c>
      <c r="F72" s="4" t="s">
        <v>407</v>
      </c>
      <c r="G72" s="18">
        <v>2.45</v>
      </c>
    </row>
    <row r="73" ht="38.25">
      <c r="D73" s="15" t="s">
        <v>220</v>
      </c>
    </row>
    <row r="74" spans="1:7" ht="12.75">
      <c r="A74" s="6" t="s">
        <v>35</v>
      </c>
      <c r="B74" s="6"/>
      <c r="C74" s="6" t="s">
        <v>115</v>
      </c>
      <c r="D74" s="6" t="s">
        <v>221</v>
      </c>
      <c r="E74" s="6" t="s">
        <v>295</v>
      </c>
      <c r="F74" s="6" t="s">
        <v>408</v>
      </c>
      <c r="G74" s="19">
        <v>19.75</v>
      </c>
    </row>
    <row r="75" spans="1:7" ht="12.75">
      <c r="A75" s="6"/>
      <c r="B75" s="6"/>
      <c r="C75" s="6"/>
      <c r="D75" s="6"/>
      <c r="E75" s="6"/>
      <c r="F75" s="6" t="s">
        <v>409</v>
      </c>
      <c r="G75" s="19">
        <v>2.45</v>
      </c>
    </row>
    <row r="76" spans="1:7" ht="12.75">
      <c r="A76" s="6"/>
      <c r="B76" s="6"/>
      <c r="C76" s="6"/>
      <c r="D76" s="6"/>
      <c r="E76" s="6"/>
      <c r="F76" s="6" t="s">
        <v>410</v>
      </c>
      <c r="G76" s="19">
        <v>1.46</v>
      </c>
    </row>
    <row r="77" spans="1:7" ht="12.75">
      <c r="A77" s="4" t="s">
        <v>36</v>
      </c>
      <c r="B77" s="4"/>
      <c r="C77" s="4" t="s">
        <v>117</v>
      </c>
      <c r="D77" s="4" t="s">
        <v>223</v>
      </c>
      <c r="E77" s="4" t="s">
        <v>297</v>
      </c>
      <c r="F77" s="4" t="s">
        <v>411</v>
      </c>
      <c r="G77" s="18">
        <v>21</v>
      </c>
    </row>
    <row r="78" ht="38.25">
      <c r="D78" s="15" t="s">
        <v>224</v>
      </c>
    </row>
    <row r="79" spans="1:7" ht="12.75">
      <c r="A79" s="4" t="s">
        <v>37</v>
      </c>
      <c r="B79" s="4"/>
      <c r="C79" s="4" t="s">
        <v>118</v>
      </c>
      <c r="D79" s="4" t="s">
        <v>225</v>
      </c>
      <c r="E79" s="4" t="s">
        <v>297</v>
      </c>
      <c r="F79" s="4" t="s">
        <v>8</v>
      </c>
      <c r="G79" s="18">
        <v>2</v>
      </c>
    </row>
    <row r="80" ht="38.25">
      <c r="D80" s="15" t="s">
        <v>226</v>
      </c>
    </row>
    <row r="81" spans="1:7" ht="12.75">
      <c r="A81" s="4" t="s">
        <v>38</v>
      </c>
      <c r="B81" s="4"/>
      <c r="C81" s="4" t="s">
        <v>119</v>
      </c>
      <c r="D81" s="4" t="s">
        <v>227</v>
      </c>
      <c r="E81" s="4" t="s">
        <v>297</v>
      </c>
      <c r="F81" s="4" t="s">
        <v>412</v>
      </c>
      <c r="G81" s="18">
        <v>86.3</v>
      </c>
    </row>
    <row r="82" ht="38.25">
      <c r="D82" s="15" t="s">
        <v>228</v>
      </c>
    </row>
    <row r="83" spans="1:7" ht="12.75">
      <c r="A83" s="4"/>
      <c r="B83" s="4"/>
      <c r="C83" s="4"/>
      <c r="D83" s="4"/>
      <c r="E83" s="4"/>
      <c r="F83" s="4" t="s">
        <v>413</v>
      </c>
      <c r="G83" s="18">
        <v>38.9</v>
      </c>
    </row>
    <row r="84" spans="1:7" ht="12.75">
      <c r="A84" s="4" t="s">
        <v>39</v>
      </c>
      <c r="B84" s="4"/>
      <c r="C84" s="4" t="s">
        <v>119</v>
      </c>
      <c r="D84" s="4" t="s">
        <v>229</v>
      </c>
      <c r="E84" s="4" t="s">
        <v>297</v>
      </c>
      <c r="F84" s="4" t="s">
        <v>414</v>
      </c>
      <c r="G84" s="18">
        <v>19.8</v>
      </c>
    </row>
    <row r="85" ht="38.25">
      <c r="D85" s="15" t="s">
        <v>228</v>
      </c>
    </row>
    <row r="86" spans="1:7" ht="12.75">
      <c r="A86" s="4" t="s">
        <v>40</v>
      </c>
      <c r="B86" s="4"/>
      <c r="C86" s="4" t="s">
        <v>119</v>
      </c>
      <c r="D86" s="4" t="s">
        <v>230</v>
      </c>
      <c r="E86" s="4" t="s">
        <v>297</v>
      </c>
      <c r="F86" s="4" t="s">
        <v>415</v>
      </c>
      <c r="G86" s="18">
        <v>9.65</v>
      </c>
    </row>
    <row r="87" ht="38.25">
      <c r="D87" s="15" t="s">
        <v>228</v>
      </c>
    </row>
    <row r="88" spans="1:7" ht="12.75">
      <c r="A88" s="4" t="s">
        <v>41</v>
      </c>
      <c r="B88" s="4"/>
      <c r="C88" s="4" t="s">
        <v>120</v>
      </c>
      <c r="D88" s="4" t="s">
        <v>231</v>
      </c>
      <c r="E88" s="4" t="s">
        <v>297</v>
      </c>
      <c r="F88" s="4" t="s">
        <v>27</v>
      </c>
      <c r="G88" s="18">
        <v>21</v>
      </c>
    </row>
    <row r="89" ht="12.75">
      <c r="D89" s="15" t="s">
        <v>232</v>
      </c>
    </row>
    <row r="90" spans="1:7" ht="12.75">
      <c r="A90" s="4" t="s">
        <v>42</v>
      </c>
      <c r="B90" s="4"/>
      <c r="C90" s="4" t="s">
        <v>121</v>
      </c>
      <c r="D90" s="4" t="s">
        <v>233</v>
      </c>
      <c r="E90" s="4" t="s">
        <v>298</v>
      </c>
      <c r="F90" s="4" t="s">
        <v>7</v>
      </c>
      <c r="G90" s="18">
        <v>1</v>
      </c>
    </row>
    <row r="91" spans="1:7" ht="12.75">
      <c r="A91" s="4" t="s">
        <v>43</v>
      </c>
      <c r="B91" s="4"/>
      <c r="C91" s="4" t="s">
        <v>122</v>
      </c>
      <c r="D91" s="4" t="s">
        <v>234</v>
      </c>
      <c r="E91" s="4" t="s">
        <v>297</v>
      </c>
      <c r="F91" s="4" t="s">
        <v>416</v>
      </c>
      <c r="G91" s="18">
        <v>9.9</v>
      </c>
    </row>
    <row r="92" spans="1:7" ht="12.75">
      <c r="A92" s="4" t="s">
        <v>44</v>
      </c>
      <c r="B92" s="4"/>
      <c r="C92" s="4" t="s">
        <v>123</v>
      </c>
      <c r="D92" s="4" t="s">
        <v>235</v>
      </c>
      <c r="E92" s="4" t="s">
        <v>297</v>
      </c>
      <c r="F92" s="4" t="s">
        <v>416</v>
      </c>
      <c r="G92" s="18">
        <v>9.9</v>
      </c>
    </row>
    <row r="93" spans="1:7" ht="12.75">
      <c r="A93" s="4" t="s">
        <v>45</v>
      </c>
      <c r="B93" s="4"/>
      <c r="C93" s="4" t="s">
        <v>124</v>
      </c>
      <c r="D93" s="4" t="s">
        <v>236</v>
      </c>
      <c r="E93" s="4" t="s">
        <v>297</v>
      </c>
      <c r="F93" s="4" t="s">
        <v>417</v>
      </c>
      <c r="G93" s="18">
        <v>19.9</v>
      </c>
    </row>
    <row r="94" spans="1:7" ht="12.75">
      <c r="A94" s="4" t="s">
        <v>46</v>
      </c>
      <c r="B94" s="4"/>
      <c r="C94" s="4" t="s">
        <v>125</v>
      </c>
      <c r="D94" s="4" t="s">
        <v>237</v>
      </c>
      <c r="E94" s="4" t="s">
        <v>297</v>
      </c>
      <c r="F94" s="4" t="s">
        <v>417</v>
      </c>
      <c r="G94" s="18">
        <v>19.9</v>
      </c>
    </row>
    <row r="95" spans="1:7" ht="12.75">
      <c r="A95" s="4" t="s">
        <v>47</v>
      </c>
      <c r="B95" s="4"/>
      <c r="C95" s="4" t="s">
        <v>126</v>
      </c>
      <c r="D95" s="4" t="s">
        <v>238</v>
      </c>
      <c r="E95" s="4" t="s">
        <v>297</v>
      </c>
      <c r="F95" s="4" t="s">
        <v>416</v>
      </c>
      <c r="G95" s="18">
        <v>9.9</v>
      </c>
    </row>
    <row r="96" spans="1:7" ht="12.75">
      <c r="A96" s="4" t="s">
        <v>48</v>
      </c>
      <c r="B96" s="4"/>
      <c r="C96" s="4" t="s">
        <v>127</v>
      </c>
      <c r="D96" s="4" t="s">
        <v>239</v>
      </c>
      <c r="E96" s="4" t="s">
        <v>297</v>
      </c>
      <c r="F96" s="4" t="s">
        <v>418</v>
      </c>
      <c r="G96" s="18">
        <v>59.2</v>
      </c>
    </row>
    <row r="97" spans="1:7" ht="12.75">
      <c r="A97" s="4" t="s">
        <v>49</v>
      </c>
      <c r="B97" s="4"/>
      <c r="C97" s="4" t="s">
        <v>128</v>
      </c>
      <c r="D97" s="4" t="s">
        <v>240</v>
      </c>
      <c r="E97" s="4" t="s">
        <v>297</v>
      </c>
      <c r="F97" s="4" t="s">
        <v>8</v>
      </c>
      <c r="G97" s="18">
        <v>2</v>
      </c>
    </row>
    <row r="98" ht="12.75">
      <c r="D98" s="15" t="s">
        <v>241</v>
      </c>
    </row>
    <row r="99" spans="1:7" ht="12.75">
      <c r="A99" s="4" t="s">
        <v>50</v>
      </c>
      <c r="B99" s="4"/>
      <c r="C99" s="4" t="s">
        <v>130</v>
      </c>
      <c r="D99" s="4" t="s">
        <v>243</v>
      </c>
      <c r="E99" s="4" t="s">
        <v>295</v>
      </c>
      <c r="F99" s="4" t="s">
        <v>419</v>
      </c>
      <c r="G99" s="18">
        <v>43.8</v>
      </c>
    </row>
    <row r="100" ht="38.25">
      <c r="D100" s="15" t="s">
        <v>244</v>
      </c>
    </row>
    <row r="101" spans="1:7" ht="12.75">
      <c r="A101" s="4" t="s">
        <v>51</v>
      </c>
      <c r="B101" s="4"/>
      <c r="C101" s="4" t="s">
        <v>131</v>
      </c>
      <c r="D101" s="4" t="s">
        <v>245</v>
      </c>
      <c r="E101" s="4" t="s">
        <v>295</v>
      </c>
      <c r="F101" s="4" t="s">
        <v>420</v>
      </c>
      <c r="G101" s="18">
        <v>57.24</v>
      </c>
    </row>
    <row r="102" ht="38.25">
      <c r="D102" s="15" t="s">
        <v>246</v>
      </c>
    </row>
    <row r="103" spans="1:7" ht="12.75">
      <c r="A103" s="4"/>
      <c r="B103" s="4"/>
      <c r="C103" s="4"/>
      <c r="D103" s="4"/>
      <c r="E103" s="4"/>
      <c r="F103" s="4" t="s">
        <v>421</v>
      </c>
      <c r="G103" s="18">
        <v>6</v>
      </c>
    </row>
    <row r="104" spans="1:7" ht="12.75">
      <c r="A104" s="4" t="s">
        <v>52</v>
      </c>
      <c r="B104" s="4"/>
      <c r="C104" s="4" t="s">
        <v>132</v>
      </c>
      <c r="D104" s="4" t="s">
        <v>247</v>
      </c>
      <c r="E104" s="4" t="s">
        <v>299</v>
      </c>
      <c r="F104" s="4" t="s">
        <v>7</v>
      </c>
      <c r="G104" s="18">
        <v>1</v>
      </c>
    </row>
    <row r="105" ht="25.5">
      <c r="D105" s="15" t="s">
        <v>248</v>
      </c>
    </row>
    <row r="106" spans="1:7" ht="12.75">
      <c r="A106" s="4" t="s">
        <v>53</v>
      </c>
      <c r="B106" s="4"/>
      <c r="C106" s="4" t="s">
        <v>133</v>
      </c>
      <c r="D106" s="4" t="s">
        <v>249</v>
      </c>
      <c r="E106" s="4" t="s">
        <v>298</v>
      </c>
      <c r="F106" s="4" t="s">
        <v>17</v>
      </c>
      <c r="G106" s="18">
        <v>11</v>
      </c>
    </row>
    <row r="107" spans="1:7" ht="12.75">
      <c r="A107" s="4" t="s">
        <v>54</v>
      </c>
      <c r="B107" s="4"/>
      <c r="C107" s="4" t="s">
        <v>133</v>
      </c>
      <c r="D107" s="4" t="s">
        <v>250</v>
      </c>
      <c r="E107" s="4" t="s">
        <v>298</v>
      </c>
      <c r="F107" s="4" t="s">
        <v>422</v>
      </c>
      <c r="G107" s="18">
        <v>90</v>
      </c>
    </row>
    <row r="108" spans="1:7" ht="12.75">
      <c r="A108" s="4" t="s">
        <v>55</v>
      </c>
      <c r="B108" s="4"/>
      <c r="C108" s="4" t="s">
        <v>135</v>
      </c>
      <c r="D108" s="4" t="s">
        <v>252</v>
      </c>
      <c r="E108" s="4" t="s">
        <v>295</v>
      </c>
      <c r="F108" s="4" t="s">
        <v>423</v>
      </c>
      <c r="G108" s="18">
        <v>74.54</v>
      </c>
    </row>
    <row r="109" spans="1:7" ht="12.75">
      <c r="A109" s="4"/>
      <c r="B109" s="4"/>
      <c r="C109" s="4"/>
      <c r="D109" s="4"/>
      <c r="E109" s="4"/>
      <c r="F109" s="4" t="s">
        <v>424</v>
      </c>
      <c r="G109" s="18">
        <v>50.96</v>
      </c>
    </row>
    <row r="110" spans="1:7" ht="12.75">
      <c r="A110" s="4"/>
      <c r="B110" s="4"/>
      <c r="C110" s="4"/>
      <c r="D110" s="4"/>
      <c r="E110" s="4"/>
      <c r="F110" s="4" t="s">
        <v>425</v>
      </c>
      <c r="G110" s="18">
        <v>5.58</v>
      </c>
    </row>
    <row r="111" spans="1:7" ht="12.75">
      <c r="A111" s="4"/>
      <c r="B111" s="4"/>
      <c r="C111" s="4"/>
      <c r="D111" s="4"/>
      <c r="E111" s="4"/>
      <c r="F111" s="4" t="s">
        <v>426</v>
      </c>
      <c r="G111" s="18">
        <v>6.12</v>
      </c>
    </row>
    <row r="112" spans="1:7" ht="12.75">
      <c r="A112" s="4" t="s">
        <v>56</v>
      </c>
      <c r="B112" s="4"/>
      <c r="C112" s="4" t="s">
        <v>136</v>
      </c>
      <c r="D112" s="4" t="s">
        <v>253</v>
      </c>
      <c r="E112" s="4" t="s">
        <v>295</v>
      </c>
      <c r="F112" s="4" t="s">
        <v>427</v>
      </c>
      <c r="G112" s="18">
        <v>11.88</v>
      </c>
    </row>
    <row r="113" spans="1:7" ht="12.75">
      <c r="A113" s="4" t="s">
        <v>57</v>
      </c>
      <c r="B113" s="4"/>
      <c r="C113" s="4" t="s">
        <v>137</v>
      </c>
      <c r="D113" s="4" t="s">
        <v>254</v>
      </c>
      <c r="E113" s="4" t="s">
        <v>295</v>
      </c>
      <c r="F113" s="4" t="s">
        <v>428</v>
      </c>
      <c r="G113" s="18">
        <v>34.35</v>
      </c>
    </row>
    <row r="114" ht="25.5">
      <c r="D114" s="15" t="s">
        <v>255</v>
      </c>
    </row>
    <row r="115" spans="1:7" ht="12.75">
      <c r="A115" s="4"/>
      <c r="B115" s="4"/>
      <c r="C115" s="4"/>
      <c r="D115" s="4"/>
      <c r="E115" s="4"/>
      <c r="F115" s="4" t="s">
        <v>7</v>
      </c>
      <c r="G115" s="18">
        <v>1</v>
      </c>
    </row>
    <row r="116" spans="1:7" ht="12.75">
      <c r="A116" s="4"/>
      <c r="B116" s="4"/>
      <c r="C116" s="4"/>
      <c r="D116" s="4"/>
      <c r="E116" s="4"/>
      <c r="F116" s="4" t="s">
        <v>429</v>
      </c>
      <c r="G116" s="18">
        <v>5.94</v>
      </c>
    </row>
    <row r="117" spans="1:7" ht="12.75">
      <c r="A117" s="4"/>
      <c r="B117" s="4"/>
      <c r="C117" s="4"/>
      <c r="D117" s="4"/>
      <c r="E117" s="4"/>
      <c r="F117" s="4" t="s">
        <v>430</v>
      </c>
      <c r="G117" s="18">
        <v>9.95</v>
      </c>
    </row>
    <row r="118" spans="1:7" ht="12.75">
      <c r="A118" s="4"/>
      <c r="B118" s="4"/>
      <c r="C118" s="4"/>
      <c r="D118" s="4"/>
      <c r="E118" s="4"/>
      <c r="F118" s="4" t="s">
        <v>431</v>
      </c>
      <c r="G118" s="18">
        <v>2.97</v>
      </c>
    </row>
    <row r="119" spans="1:7" ht="12.75">
      <c r="A119" s="4"/>
      <c r="B119" s="4"/>
      <c r="C119" s="4"/>
      <c r="D119" s="4"/>
      <c r="E119" s="4"/>
      <c r="F119" s="4" t="s">
        <v>432</v>
      </c>
      <c r="G119" s="18">
        <v>0.63</v>
      </c>
    </row>
    <row r="120" spans="1:7" ht="12.75">
      <c r="A120" s="4" t="s">
        <v>58</v>
      </c>
      <c r="B120" s="4"/>
      <c r="C120" s="4" t="s">
        <v>139</v>
      </c>
      <c r="D120" s="4" t="s">
        <v>257</v>
      </c>
      <c r="E120" s="4" t="s">
        <v>300</v>
      </c>
      <c r="F120" s="4" t="s">
        <v>433</v>
      </c>
      <c r="G120" s="18">
        <v>144</v>
      </c>
    </row>
    <row r="121" spans="1:7" ht="12.75">
      <c r="A121" s="4" t="s">
        <v>59</v>
      </c>
      <c r="B121" s="4"/>
      <c r="C121" s="4" t="s">
        <v>140</v>
      </c>
      <c r="D121" s="4" t="s">
        <v>258</v>
      </c>
      <c r="E121" s="4" t="s">
        <v>300</v>
      </c>
      <c r="F121" s="4" t="s">
        <v>434</v>
      </c>
      <c r="G121" s="18">
        <v>144</v>
      </c>
    </row>
    <row r="122" spans="1:7" ht="12.75">
      <c r="A122" s="4" t="s">
        <v>60</v>
      </c>
      <c r="B122" s="4"/>
      <c r="C122" s="4" t="s">
        <v>141</v>
      </c>
      <c r="D122" s="4" t="s">
        <v>259</v>
      </c>
      <c r="E122" s="4" t="s">
        <v>300</v>
      </c>
      <c r="F122" s="4" t="s">
        <v>434</v>
      </c>
      <c r="G122" s="18">
        <v>144</v>
      </c>
    </row>
    <row r="123" spans="1:7" ht="12.75">
      <c r="A123" s="4" t="s">
        <v>61</v>
      </c>
      <c r="B123" s="4"/>
      <c r="C123" s="4" t="s">
        <v>143</v>
      </c>
      <c r="D123" s="4" t="s">
        <v>261</v>
      </c>
      <c r="E123" s="4" t="s">
        <v>295</v>
      </c>
      <c r="F123" s="4" t="s">
        <v>435</v>
      </c>
      <c r="G123" s="18">
        <v>168.95</v>
      </c>
    </row>
    <row r="124" ht="63.75">
      <c r="D124" s="15" t="s">
        <v>262</v>
      </c>
    </row>
    <row r="125" spans="1:7" ht="12.75">
      <c r="A125" s="4" t="s">
        <v>62</v>
      </c>
      <c r="B125" s="4"/>
      <c r="C125" s="4" t="s">
        <v>145</v>
      </c>
      <c r="D125" s="4" t="s">
        <v>264</v>
      </c>
      <c r="E125" s="4" t="s">
        <v>299</v>
      </c>
      <c r="F125" s="4" t="s">
        <v>7</v>
      </c>
      <c r="G125" s="18">
        <v>1</v>
      </c>
    </row>
    <row r="126" spans="1:7" ht="12.75">
      <c r="A126" s="4" t="s">
        <v>63</v>
      </c>
      <c r="B126" s="4"/>
      <c r="C126" s="4" t="s">
        <v>146</v>
      </c>
      <c r="D126" s="4" t="s">
        <v>265</v>
      </c>
      <c r="E126" s="4" t="s">
        <v>299</v>
      </c>
      <c r="F126" s="4" t="s">
        <v>7</v>
      </c>
      <c r="G126" s="18">
        <v>1</v>
      </c>
    </row>
    <row r="127" ht="12.75">
      <c r="D127" s="15" t="s">
        <v>266</v>
      </c>
    </row>
    <row r="128" spans="1:7" ht="12.75">
      <c r="A128" s="4" t="s">
        <v>64</v>
      </c>
      <c r="B128" s="4"/>
      <c r="C128" s="4" t="s">
        <v>147</v>
      </c>
      <c r="D128" s="4" t="s">
        <v>267</v>
      </c>
      <c r="E128" s="4" t="s">
        <v>299</v>
      </c>
      <c r="F128" s="4" t="s">
        <v>7</v>
      </c>
      <c r="G128" s="18">
        <v>1</v>
      </c>
    </row>
    <row r="129" ht="12.75">
      <c r="D129" s="15" t="s">
        <v>268</v>
      </c>
    </row>
    <row r="130" spans="1:7" ht="12.75">
      <c r="A130" s="4" t="s">
        <v>65</v>
      </c>
      <c r="B130" s="4"/>
      <c r="C130" s="4" t="s">
        <v>148</v>
      </c>
      <c r="D130" s="4" t="s">
        <v>269</v>
      </c>
      <c r="E130" s="4" t="s">
        <v>299</v>
      </c>
      <c r="F130" s="4" t="s">
        <v>7</v>
      </c>
      <c r="G130" s="18">
        <v>1</v>
      </c>
    </row>
    <row r="131" spans="1:7" ht="12.75">
      <c r="A131" s="4" t="s">
        <v>66</v>
      </c>
      <c r="B131" s="4"/>
      <c r="C131" s="4" t="s">
        <v>150</v>
      </c>
      <c r="D131" s="4" t="s">
        <v>271</v>
      </c>
      <c r="E131" s="4" t="s">
        <v>295</v>
      </c>
      <c r="F131" s="4" t="s">
        <v>436</v>
      </c>
      <c r="G131" s="18">
        <v>4.41</v>
      </c>
    </row>
    <row r="132" spans="1:7" ht="12.75">
      <c r="A132" s="4" t="s">
        <v>67</v>
      </c>
      <c r="B132" s="4"/>
      <c r="C132" s="4" t="s">
        <v>151</v>
      </c>
      <c r="D132" s="4" t="s">
        <v>272</v>
      </c>
      <c r="E132" s="4" t="s">
        <v>298</v>
      </c>
      <c r="F132" s="4" t="s">
        <v>422</v>
      </c>
      <c r="G132" s="18">
        <v>90</v>
      </c>
    </row>
    <row r="133" spans="1:7" ht="12.75">
      <c r="A133" s="4" t="s">
        <v>68</v>
      </c>
      <c r="B133" s="4"/>
      <c r="C133" s="4" t="s">
        <v>152</v>
      </c>
      <c r="D133" s="4" t="s">
        <v>273</v>
      </c>
      <c r="E133" s="4" t="s">
        <v>300</v>
      </c>
      <c r="F133" s="4" t="s">
        <v>437</v>
      </c>
      <c r="G133" s="18">
        <v>1.01</v>
      </c>
    </row>
    <row r="134" ht="12.75">
      <c r="D134" s="15" t="s">
        <v>274</v>
      </c>
    </row>
    <row r="135" spans="1:7" ht="12.75">
      <c r="A135" s="4" t="s">
        <v>69</v>
      </c>
      <c r="B135" s="4"/>
      <c r="C135" s="4" t="s">
        <v>154</v>
      </c>
      <c r="D135" s="4" t="s">
        <v>276</v>
      </c>
      <c r="E135" s="4" t="s">
        <v>296</v>
      </c>
      <c r="F135" s="4" t="s">
        <v>438</v>
      </c>
      <c r="G135" s="18">
        <v>5.45</v>
      </c>
    </row>
    <row r="136" spans="1:7" ht="12.75">
      <c r="A136" s="4" t="s">
        <v>70</v>
      </c>
      <c r="B136" s="4"/>
      <c r="C136" s="4" t="s">
        <v>156</v>
      </c>
      <c r="D136" s="4" t="s">
        <v>277</v>
      </c>
      <c r="E136" s="4" t="s">
        <v>301</v>
      </c>
      <c r="F136" s="4" t="s">
        <v>439</v>
      </c>
      <c r="G136" s="18">
        <v>1975.03</v>
      </c>
    </row>
    <row r="137" spans="1:7" ht="12.75">
      <c r="A137" s="4" t="s">
        <v>71</v>
      </c>
      <c r="B137" s="4"/>
      <c r="C137" s="4" t="s">
        <v>158</v>
      </c>
      <c r="D137" s="4" t="s">
        <v>278</v>
      </c>
      <c r="E137" s="4" t="s">
        <v>301</v>
      </c>
      <c r="F137" s="4" t="s">
        <v>440</v>
      </c>
      <c r="G137" s="18">
        <v>731.21</v>
      </c>
    </row>
    <row r="138" spans="1:7" ht="12.75">
      <c r="A138" s="4" t="s">
        <v>72</v>
      </c>
      <c r="B138" s="4"/>
      <c r="C138" s="4" t="s">
        <v>160</v>
      </c>
      <c r="D138" s="4" t="s">
        <v>279</v>
      </c>
      <c r="E138" s="4" t="s">
        <v>301</v>
      </c>
      <c r="F138" s="4" t="s">
        <v>441</v>
      </c>
      <c r="G138" s="18">
        <v>52.26</v>
      </c>
    </row>
    <row r="139" spans="1:7" ht="12.75">
      <c r="A139" s="4" t="s">
        <v>73</v>
      </c>
      <c r="B139" s="4"/>
      <c r="C139" s="4" t="s">
        <v>162</v>
      </c>
      <c r="D139" s="4" t="s">
        <v>280</v>
      </c>
      <c r="E139" s="4" t="s">
        <v>301</v>
      </c>
      <c r="F139" s="4" t="s">
        <v>442</v>
      </c>
      <c r="G139" s="18">
        <v>379.8</v>
      </c>
    </row>
    <row r="140" spans="1:7" ht="12.75">
      <c r="A140" s="4" t="s">
        <v>74</v>
      </c>
      <c r="B140" s="4"/>
      <c r="C140" s="4" t="s">
        <v>164</v>
      </c>
      <c r="D140" s="4" t="s">
        <v>281</v>
      </c>
      <c r="E140" s="4" t="s">
        <v>301</v>
      </c>
      <c r="F140" s="4" t="s">
        <v>443</v>
      </c>
      <c r="G140" s="18">
        <v>2526.85</v>
      </c>
    </row>
    <row r="141" spans="1:7" ht="12.75">
      <c r="A141" s="4" t="s">
        <v>75</v>
      </c>
      <c r="B141" s="4"/>
      <c r="C141" s="4" t="s">
        <v>166</v>
      </c>
      <c r="D141" s="4" t="s">
        <v>283</v>
      </c>
      <c r="E141" s="4" t="s">
        <v>296</v>
      </c>
      <c r="F141" s="4" t="s">
        <v>444</v>
      </c>
      <c r="G141" s="18">
        <v>19.96</v>
      </c>
    </row>
    <row r="142" spans="1:7" ht="12.75">
      <c r="A142" s="4" t="s">
        <v>76</v>
      </c>
      <c r="B142" s="4"/>
      <c r="C142" s="4" t="s">
        <v>167</v>
      </c>
      <c r="D142" s="4" t="s">
        <v>284</v>
      </c>
      <c r="E142" s="4" t="s">
        <v>296</v>
      </c>
      <c r="F142" s="4" t="s">
        <v>445</v>
      </c>
      <c r="G142" s="18">
        <v>19.96</v>
      </c>
    </row>
    <row r="143" ht="25.5">
      <c r="D143" s="15" t="s">
        <v>285</v>
      </c>
    </row>
    <row r="144" spans="1:7" ht="12.75">
      <c r="A144" s="4"/>
      <c r="B144" s="4"/>
      <c r="C144" s="4"/>
      <c r="D144" s="4"/>
      <c r="E144" s="4"/>
      <c r="F144" s="4" t="s">
        <v>446</v>
      </c>
      <c r="G144" s="18">
        <v>0.66</v>
      </c>
    </row>
    <row r="145" spans="1:7" ht="12.75">
      <c r="A145" s="4"/>
      <c r="B145" s="4"/>
      <c r="C145" s="4"/>
      <c r="D145" s="4"/>
      <c r="E145" s="4"/>
      <c r="F145" s="4" t="s">
        <v>447</v>
      </c>
      <c r="G145" s="18">
        <v>6.58</v>
      </c>
    </row>
    <row r="146" spans="1:7" ht="12.75">
      <c r="A146" s="4"/>
      <c r="B146" s="4"/>
      <c r="C146" s="4"/>
      <c r="D146" s="4"/>
      <c r="E146" s="4"/>
      <c r="F146" s="4" t="s">
        <v>448</v>
      </c>
      <c r="G146" s="18">
        <v>0.17</v>
      </c>
    </row>
    <row r="147" spans="1:7" ht="12.75">
      <c r="A147" s="4"/>
      <c r="B147" s="4"/>
      <c r="C147" s="4"/>
      <c r="D147" s="4"/>
      <c r="E147" s="4"/>
      <c r="F147" s="4" t="s">
        <v>449</v>
      </c>
      <c r="G147" s="18">
        <v>0.11</v>
      </c>
    </row>
    <row r="148" spans="1:7" ht="12.75">
      <c r="A148" s="4"/>
      <c r="B148" s="4"/>
      <c r="C148" s="4"/>
      <c r="D148" s="4"/>
      <c r="E148" s="4"/>
      <c r="F148" s="4" t="s">
        <v>450</v>
      </c>
      <c r="G148" s="18">
        <v>0.02</v>
      </c>
    </row>
    <row r="149" spans="1:7" ht="12.75">
      <c r="A149" s="4"/>
      <c r="B149" s="4"/>
      <c r="C149" s="4"/>
      <c r="D149" s="4"/>
      <c r="E149" s="4"/>
      <c r="F149" s="4" t="s">
        <v>451</v>
      </c>
      <c r="G149" s="18">
        <v>0.04</v>
      </c>
    </row>
    <row r="150" spans="1:7" ht="12.75">
      <c r="A150" s="4"/>
      <c r="B150" s="4"/>
      <c r="C150" s="4"/>
      <c r="D150" s="4"/>
      <c r="E150" s="4"/>
      <c r="F150" s="4" t="s">
        <v>452</v>
      </c>
      <c r="G150" s="18">
        <v>0.36</v>
      </c>
    </row>
    <row r="151" spans="1:7" ht="12.75">
      <c r="A151" s="4" t="s">
        <v>77</v>
      </c>
      <c r="B151" s="4"/>
      <c r="C151" s="4" t="s">
        <v>168</v>
      </c>
      <c r="D151" s="4" t="s">
        <v>286</v>
      </c>
      <c r="E151" s="4" t="s">
        <v>296</v>
      </c>
      <c r="F151" s="4" t="s">
        <v>453</v>
      </c>
      <c r="G151" s="18">
        <v>17.76</v>
      </c>
    </row>
    <row r="152" spans="1:7" ht="12.75">
      <c r="A152" s="4" t="s">
        <v>78</v>
      </c>
      <c r="B152" s="4"/>
      <c r="C152" s="4" t="s">
        <v>169</v>
      </c>
      <c r="D152" s="4" t="s">
        <v>287</v>
      </c>
      <c r="E152" s="4" t="s">
        <v>296</v>
      </c>
      <c r="F152" s="4" t="s">
        <v>454</v>
      </c>
      <c r="G152" s="18">
        <v>199.6</v>
      </c>
    </row>
    <row r="153" ht="12.75">
      <c r="D153" s="15" t="s">
        <v>288</v>
      </c>
    </row>
    <row r="154" spans="1:7" ht="12.75">
      <c r="A154" s="4" t="s">
        <v>79</v>
      </c>
      <c r="B154" s="4"/>
      <c r="C154" s="4" t="s">
        <v>170</v>
      </c>
      <c r="D154" s="4" t="s">
        <v>289</v>
      </c>
      <c r="E154" s="4" t="s">
        <v>296</v>
      </c>
      <c r="F154" s="4" t="s">
        <v>444</v>
      </c>
      <c r="G154" s="18">
        <v>19.96</v>
      </c>
    </row>
  </sheetData>
  <sheetProtection/>
  <mergeCells count="17">
    <mergeCell ref="A6:B7"/>
    <mergeCell ref="C6:D7"/>
    <mergeCell ref="E6:E7"/>
    <mergeCell ref="F6:G7"/>
    <mergeCell ref="A8:B9"/>
    <mergeCell ref="C8:D9"/>
    <mergeCell ref="E8:E9"/>
    <mergeCell ref="F8:G9"/>
    <mergeCell ref="A1:G1"/>
    <mergeCell ref="A2:B3"/>
    <mergeCell ref="C2:D3"/>
    <mergeCell ref="E2:E3"/>
    <mergeCell ref="F2:G3"/>
    <mergeCell ref="A4:B5"/>
    <mergeCell ref="C4:D5"/>
    <mergeCell ref="E4:E5"/>
    <mergeCell ref="F4:G5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Martin Outlý</cp:lastModifiedBy>
  <cp:lastPrinted>2016-07-26T10:53:21Z</cp:lastPrinted>
  <dcterms:created xsi:type="dcterms:W3CDTF">2016-07-25T16:43:01Z</dcterms:created>
  <dcterms:modified xsi:type="dcterms:W3CDTF">2016-07-26T10:54:11Z</dcterms:modified>
  <cp:category/>
  <cp:version/>
  <cp:contentType/>
  <cp:contentStatus/>
</cp:coreProperties>
</file>