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rycí list rozpočtu" sheetId="1" r:id="rId1"/>
    <sheet name="Stavební rozpočet - součet" sheetId="2" r:id="rId2"/>
    <sheet name="Stavební rozpočet" sheetId="3" r:id="rId3"/>
  </sheets>
  <definedNames>
    <definedName name="_xlnm.Print_Titles" localSheetId="2">'Stavební rozpočet'!$10:$11</definedName>
  </definedNames>
  <calcPr fullCalcOnLoad="1"/>
</workbook>
</file>

<file path=xl/sharedStrings.xml><?xml version="1.0" encoding="utf-8"?>
<sst xmlns="http://schemas.openxmlformats.org/spreadsheetml/2006/main" count="627" uniqueCount="318">
  <si>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</si>
  <si>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</si>
  <si>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</si>
  <si>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</si>
  <si>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</si>
  <si>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</si>
  <si>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</si>
  <si>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</si>
  <si>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</si>
  <si>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</si>
  <si>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</si>
  <si>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</si>
  <si>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</si>
  <si>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</si>
  <si>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</si>
  <si>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</si>
  <si>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</si>
  <si>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</si>
  <si>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</si>
  <si>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</si>
  <si>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</si>
  <si>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</si>
  <si>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</si>
  <si>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</si>
  <si>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</si>
  <si>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</si>
  <si>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</si>
  <si>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</si>
  <si>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</si>
  <si>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</si>
  <si>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</si>
  <si>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</si>
  <si>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</si>
  <si>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</si>
  <si>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</si>
  <si>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</si>
  <si>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</si>
  <si>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</si>
  <si>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</si>
  <si>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</si>
  <si>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</si>
  <si>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</si>
  <si>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</si>
  <si>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</si>
  <si>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</si>
  <si>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</si>
  <si>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</si>
  <si>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</si>
  <si>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</si>
  <si>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</si>
  <si>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</si>
  <si>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</si>
  <si>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</si>
  <si>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</si>
  <si>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</si>
  <si>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Poznámka:</t>
  </si>
  <si>
    <t>Objekt</t>
  </si>
  <si>
    <t>Kód</t>
  </si>
  <si>
    <t>213151121R00</t>
  </si>
  <si>
    <t>69370506</t>
  </si>
  <si>
    <t>28329076</t>
  </si>
  <si>
    <t>62</t>
  </si>
  <si>
    <t>6229H9301R00</t>
  </si>
  <si>
    <t>622903111R00</t>
  </si>
  <si>
    <t>622904115R00</t>
  </si>
  <si>
    <t>622461153R00</t>
  </si>
  <si>
    <t>622425722R00</t>
  </si>
  <si>
    <t>622461154R00</t>
  </si>
  <si>
    <t>622421131R00</t>
  </si>
  <si>
    <t>620991121R00</t>
  </si>
  <si>
    <t>622471317R00</t>
  </si>
  <si>
    <t>281606214R00</t>
  </si>
  <si>
    <t>612434133RT1</t>
  </si>
  <si>
    <t>632451022R00</t>
  </si>
  <si>
    <t>764</t>
  </si>
  <si>
    <t>7644H9301R00</t>
  </si>
  <si>
    <t>764352861R00</t>
  </si>
  <si>
    <t>764900040RAA</t>
  </si>
  <si>
    <t>764321860R00</t>
  </si>
  <si>
    <t>764422220R00</t>
  </si>
  <si>
    <t>76443H9301RT2</t>
  </si>
  <si>
    <t>764454202R00</t>
  </si>
  <si>
    <t>764352203R00</t>
  </si>
  <si>
    <t>764359822R00</t>
  </si>
  <si>
    <t>764359292R00</t>
  </si>
  <si>
    <t>765</t>
  </si>
  <si>
    <t>765950010RA0</t>
  </si>
  <si>
    <t>767</t>
  </si>
  <si>
    <t>7670H9301VD</t>
  </si>
  <si>
    <t>783</t>
  </si>
  <si>
    <t>783520010RAB</t>
  </si>
  <si>
    <t>783CA01VD</t>
  </si>
  <si>
    <t>94</t>
  </si>
  <si>
    <t>941941042R00</t>
  </si>
  <si>
    <t>941941292R00</t>
  </si>
  <si>
    <t>944944013R00</t>
  </si>
  <si>
    <t>941941842R00</t>
  </si>
  <si>
    <t>944944083R00</t>
  </si>
  <si>
    <t>944945013R00</t>
  </si>
  <si>
    <t>944945193R00</t>
  </si>
  <si>
    <t>944945813R00</t>
  </si>
  <si>
    <t>97</t>
  </si>
  <si>
    <t>978015291R00</t>
  </si>
  <si>
    <t>979</t>
  </si>
  <si>
    <t>979OPK01VD</t>
  </si>
  <si>
    <t>H01</t>
  </si>
  <si>
    <t>998011003R00</t>
  </si>
  <si>
    <t>H764</t>
  </si>
  <si>
    <t>998764203R00</t>
  </si>
  <si>
    <t>H765</t>
  </si>
  <si>
    <t>998765203R00</t>
  </si>
  <si>
    <t>H767</t>
  </si>
  <si>
    <t>998767203R00</t>
  </si>
  <si>
    <t>S</t>
  </si>
  <si>
    <t>979082111R00</t>
  </si>
  <si>
    <t>979082121R00</t>
  </si>
  <si>
    <t>979083117R00</t>
  </si>
  <si>
    <t>979083191R00</t>
  </si>
  <si>
    <t>979CA01VD</t>
  </si>
  <si>
    <t>OPRAVA FASÁD ULICE NA HRADBÁCH 93 - SO 02</t>
  </si>
  <si>
    <t>Oprava fasád</t>
  </si>
  <si>
    <t>Kolín, Na Hradbách č.p. 93</t>
  </si>
  <si>
    <t>Zkrácený popis / Varianta</t>
  </si>
  <si>
    <t>Rozměry</t>
  </si>
  <si>
    <t>Ochrana střešní krytiny</t>
  </si>
  <si>
    <t>Montáž geotextílie a ochr. plachty</t>
  </si>
  <si>
    <t>Geotextilie  PES 500g/m2 do 6 m - ochrana střechy</t>
  </si>
  <si>
    <t>Fólie ochranná  š.3000 mm - ochrana střechy</t>
  </si>
  <si>
    <t>Úprava povrchů vnější</t>
  </si>
  <si>
    <t>Očištění fasád tlakovou vodou s čistícím přípravkem</t>
  </si>
  <si>
    <t>Očištění zdí  před opravou, ručně</t>
  </si>
  <si>
    <t>odstranění difuzně nepropustných nátěrů</t>
  </si>
  <si>
    <t>Očištění fasád tlakovou vodou</t>
  </si>
  <si>
    <t>Omítka vnější stěn břízolit. škrábaná, složitost 4-5</t>
  </si>
  <si>
    <t>škrábaná omítka ze suchých směsí</t>
  </si>
  <si>
    <t>Oprava vněj. omítek 4-5, do 80%, stěrka na 100% plochy</t>
  </si>
  <si>
    <t>Místa s chybějící omítkou doplnit omítkou do líce okolní navazující omítky a natáhnout 3 mm stěrkou z tvrdé škrábané 
omítky s aditivním přípravkem.</t>
  </si>
  <si>
    <t>Omítka vnější stěn břízolit, škrábaná, složitost 4-5</t>
  </si>
  <si>
    <t>Omítka vnější stěn, MVC, hladká, složitost 1-2, štít</t>
  </si>
  <si>
    <t>Zakrývání výplní vnějších otvorů z lešení</t>
  </si>
  <si>
    <t>Nátěr stěn vnějších, složitost 1-2, štít</t>
  </si>
  <si>
    <t>Položka obsahuje 1x penetraci podkladu a 2x nátěr.</t>
  </si>
  <si>
    <t>Nízkotlaká injektáž cihelného zdiva tl. do 100 cm</t>
  </si>
  <si>
    <t>Vyvrtání otvorů (10 ks/m zdi), vyčištění vrtu od hrubých nečistot, osazení pakrů, nízkotlaká injektáž do 10 bar, dodávka injektážní emulze. Aplikace injektážním zařízením.</t>
  </si>
  <si>
    <t>Omítkový sanační systém  3vrst. - sokl</t>
  </si>
  <si>
    <t>Systém splňující požadavky WTA.</t>
  </si>
  <si>
    <t>Vyrovnávací potěr MC 15, v pásu, tl. 30 mm</t>
  </si>
  <si>
    <t>vyrovnávací potěr z cementové malty provedený v pásu na zdivu jako podklad  pod oplechování, vodorovný nebo ve spádu do 15 st.,</t>
  </si>
  <si>
    <t>Konstrukce klempířské</t>
  </si>
  <si>
    <t>Demontáž oplechování zdiva rš. do 1600 mm</t>
  </si>
  <si>
    <t>Demontáž žlabů půlkruh. oblouk.</t>
  </si>
  <si>
    <t>Demontáž odpadních trub</t>
  </si>
  <si>
    <t>z plechu pozinkovaného</t>
  </si>
  <si>
    <t>Demontáž oplechování říms rš. do 1000 mm</t>
  </si>
  <si>
    <t>Oplechování říms z Pz plechu, rš do 1000 mm</t>
  </si>
  <si>
    <t>Oplechování zdí z Pz plechu, rš 1600 mm</t>
  </si>
  <si>
    <t>Odpadní trouby z Pz plechu, kruhové, D 100 mm</t>
  </si>
  <si>
    <t>Položka je včetně nákladů na dodání zděří, manžet, odboček, kolen, odskoků, výpustí vody a přechodových kusů.</t>
  </si>
  <si>
    <t>Žlaby z Pz plechu podokapní půlkruhové, rš 330 mm</t>
  </si>
  <si>
    <t>Položka je  včetně háků, čel, rohů, rovných hrdel a dilatací.</t>
  </si>
  <si>
    <t>Demontáž kotlíku</t>
  </si>
  <si>
    <t>Zpětná montáž kotlíku Pz</t>
  </si>
  <si>
    <t>Krytina tvrdá</t>
  </si>
  <si>
    <t>Přeložení pálené krytiny</t>
  </si>
  <si>
    <t>V délce římsy</t>
  </si>
  <si>
    <t>Konstrukce zámečnické</t>
  </si>
  <si>
    <t>Kryty výdechů podokeních topidel</t>
  </si>
  <si>
    <t>Nové kryty dle TZ dokumentace s jednotným vzhledem</t>
  </si>
  <si>
    <t>Nátěry</t>
  </si>
  <si>
    <t>Nátěr klempířských konstrukcí syntetický</t>
  </si>
  <si>
    <t>základní reaktivní a dvojnásobný krycí</t>
  </si>
  <si>
    <t>Nátěry zámečnických konstrukcí</t>
  </si>
  <si>
    <t>elektroměrné a plynoměrné skříně</t>
  </si>
  <si>
    <t>Lešení a stavební výtahy</t>
  </si>
  <si>
    <t>Montáž lešení leh.řad.s podlahami,š.1,2 m, H 30 m</t>
  </si>
  <si>
    <t>Příplatek za každý měsíc použití lešení k pol.1042</t>
  </si>
  <si>
    <t>2x</t>
  </si>
  <si>
    <t>Montáž ochr.sítě z umělých vláken - stínění do 70%</t>
  </si>
  <si>
    <t>Demontáž lešení leh.řad.s podlahami,š.1,2 m,H 30 m</t>
  </si>
  <si>
    <t>Demontáž ochr.sítě z umělých vláken,stínění do 70%</t>
  </si>
  <si>
    <t>Montáž záchytné stříšky H 4,5 m, šířky nad 2 m</t>
  </si>
  <si>
    <t>Příplatek za každý měsíc použ.stříšky, k pol. 5013</t>
  </si>
  <si>
    <t>Demontáž záchytné stříšky H 4,5 m, šířky nad 2 m</t>
  </si>
  <si>
    <t>Prorážení otvorů a ostatní bourací práce</t>
  </si>
  <si>
    <t>Otlučení omítek vnějších MVC v složit.1-4 až 100 %</t>
  </si>
  <si>
    <t>S vyškrabáním spár. V položce není kalkulována manipulace se sutí, která se oceňuje samostatně položkami souboru</t>
  </si>
  <si>
    <t>Poplatky</t>
  </si>
  <si>
    <t>Poplatek za zábor veřejného prostoru</t>
  </si>
  <si>
    <t>Přesun hmot HSV</t>
  </si>
  <si>
    <t>Přesun hmot pro budovy zděné výšky do 24 m</t>
  </si>
  <si>
    <t>Přesun hmot pro konstrukce klempířské</t>
  </si>
  <si>
    <t>Přesun hmot pro klempířské konstr., výšky do 24 m</t>
  </si>
  <si>
    <t>Přesun hmot pro krytiny tvrdé</t>
  </si>
  <si>
    <t>Přesun hmot pro krytiny tvrdé, výšky do 24 m</t>
  </si>
  <si>
    <t>Přesun hmot pro konstrukce zámečnické</t>
  </si>
  <si>
    <t>Přesun hmot pro zámečnické konstr., výšky do 24 m</t>
  </si>
  <si>
    <t>Přesuny sutí</t>
  </si>
  <si>
    <t>Vnitrostaveništní doprava suti do 10 m</t>
  </si>
  <si>
    <t>Příplatek k vnitrost. dopravě suti za dalších 5 m</t>
  </si>
  <si>
    <t>Vodorovné přemístění suti na skládku do 6000 m</t>
  </si>
  <si>
    <t>V položce jsou zakalkulovány i náklady na naložení suti na dopravní prostředek a složení.</t>
  </si>
  <si>
    <t>Příplatek za dalších započatých 1000 m nad 6000 m</t>
  </si>
  <si>
    <t>10x skládka Radim</t>
  </si>
  <si>
    <t>Poplatek za skládku Radim - čistá  stavební suť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</si>
  <si>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</si>
  <si>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</si>
  <si>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</si>
  <si>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</si>
  <si>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</si>
  <si>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</si>
  <si>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</si>
  <si>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kus</t>
  </si>
  <si>
    <t>celek</t>
  </si>
  <si>
    <t>m2 den</t>
  </si>
  <si>
    <t>t</t>
  </si>
  <si>
    <t>%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</si>
  <si>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</si>
  <si>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</si>
  <si>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</si>
  <si>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</si>
  <si>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</si>
  <si>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</si>
  <si>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</si>
  <si>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</si>
  <si>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</si>
  <si>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</si>
  <si>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</si>
  <si>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Kolín, Karlovo náměstí 78</t>
  </si>
  <si>
    <t>Ing. M. Outlý, O-pro servis, Kolín</t>
  </si>
  <si>
    <t>Ing. Jan Forejt</t>
  </si>
  <si>
    <t>Celkem</t>
  </si>
  <si>
    <t>Hmotnost (t)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</si>
  <si>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</si>
  <si>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</si>
  <si>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</si>
  <si>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</si>
  <si>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</si>
  <si>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</si>
  <si>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</si>
  <si>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</si>
  <si>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</si>
  <si>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21_</t>
  </si>
  <si>
    <t>62_</t>
  </si>
  <si>
    <t>764_</t>
  </si>
  <si>
    <t>765_</t>
  </si>
  <si>
    <t>767_</t>
  </si>
  <si>
    <t>783_</t>
  </si>
  <si>
    <t>94_</t>
  </si>
  <si>
    <t>97_</t>
  </si>
  <si>
    <t>979_</t>
  </si>
  <si>
    <t>H01_</t>
  </si>
  <si>
    <t>H764_</t>
  </si>
  <si>
    <t>H765_</t>
  </si>
  <si>
    <t>H767_</t>
  </si>
  <si>
    <t>S_</t>
  </si>
  <si>
    <t>2_</t>
  </si>
  <si>
    <t>6_</t>
  </si>
  <si>
    <t>76_</t>
  </si>
  <si>
    <t>78_</t>
  </si>
  <si>
    <t>9_</t>
  </si>
  <si>
    <t>_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</si>
  <si>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</si>
  <si>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</si>
  <si>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</si>
  <si>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</si>
  <si>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</si>
  <si>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</si>
  <si>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</si>
  <si>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</si>
  <si>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</si>
  <si>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</si>
  <si>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</si>
  <si>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</si>
  <si>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</si>
  <si>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</si>
  <si>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</si>
  <si>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</si>
  <si>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</si>
  <si>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</si>
  <si>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</si>
  <si>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</si>
  <si>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</si>
  <si>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</si>
  <si>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</si>
  <si>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</si>
  <si>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</si>
  <si>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</si>
  <si>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</si>
  <si>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</si>
  <si>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</si>
  <si>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</si>
  <si>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</si>
  <si>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</si>
  <si>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</si>
  <si>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</si>
  <si>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</si>
  <si>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</si>
  <si>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</si>
  <si>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</si>
  <si>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</si>
  <si>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</si>
  <si>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</si>
  <si>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</si>
  <si>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</si>
  <si>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</si>
  <si>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</si>
  <si>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</si>
  <si>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</si>
  <si>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</si>
  <si>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</si>
  <si>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</si>
  <si>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</si>
  <si>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00235440/</t>
  </si>
  <si>
    <t>11422131/</t>
  </si>
  <si>
    <t>Rozpočet je zpracován dle dokumentace pro stavební povolení. Nutno respektovat upozornění projektanta va závěru TZ dokumentace.</t>
  </si>
  <si>
    <t>město Kolín</t>
  </si>
  <si>
    <t>zast. Michalem Najbrtem,</t>
  </si>
  <si>
    <t>místostarostou města Kolín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</si>
</sst>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b/>
      <sz val="10"/>
      <color indexed="2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464646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hair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1" fillId="34" borderId="27" xfId="0" applyNumberFormat="1" applyFont="1" applyFill="1" applyBorder="1" applyAlignment="1" applyProtection="1">
      <alignment horizontal="center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3" fillId="0" borderId="27" xfId="0" applyNumberFormat="1" applyFont="1" applyFill="1" applyBorder="1" applyAlignment="1" applyProtection="1">
      <alignment horizontal="right" vertical="center"/>
      <protection/>
    </xf>
    <xf numFmtId="49" fontId="13" fillId="0" borderId="27" xfId="0" applyNumberFormat="1" applyFont="1" applyFill="1" applyBorder="1" applyAlignment="1" applyProtection="1">
      <alignment horizontal="right" vertical="center"/>
      <protection/>
    </xf>
    <xf numFmtId="4" fontId="13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" fontId="12" fillId="34" borderId="36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10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39" xfId="0" applyNumberFormat="1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left" vertical="center"/>
      <protection/>
    </xf>
    <xf numFmtId="0" fontId="14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35" xfId="0" applyNumberFormat="1" applyFont="1" applyFill="1" applyBorder="1" applyAlignment="1" applyProtection="1">
      <alignment horizontal="left" vertical="center"/>
      <protection/>
    </xf>
    <xf numFmtId="0" fontId="13" fillId="0" borderId="36" xfId="0" applyNumberFormat="1" applyFont="1" applyFill="1" applyBorder="1" applyAlignment="1" applyProtection="1">
      <alignment horizontal="left" vertical="center"/>
      <protection/>
    </xf>
    <xf numFmtId="49" fontId="12" fillId="0" borderId="35" xfId="0" applyNumberFormat="1" applyFont="1" applyFill="1" applyBorder="1" applyAlignment="1" applyProtection="1">
      <alignment horizontal="left" vertical="center"/>
      <protection/>
    </xf>
    <xf numFmtId="0" fontId="12" fillId="0" borderId="36" xfId="0" applyNumberFormat="1" applyFont="1" applyFill="1" applyBorder="1" applyAlignment="1" applyProtection="1">
      <alignment horizontal="left" vertical="center"/>
      <protection/>
    </xf>
    <xf numFmtId="49" fontId="12" fillId="34" borderId="35" xfId="0" applyNumberFormat="1" applyFont="1" applyFill="1" applyBorder="1" applyAlignment="1" applyProtection="1">
      <alignment horizontal="left" vertical="center"/>
      <protection/>
    </xf>
    <xf numFmtId="0" fontId="12" fillId="34" borderId="39" xfId="0" applyNumberFormat="1" applyFont="1" applyFill="1" applyBorder="1" applyAlignment="1" applyProtection="1">
      <alignment horizontal="left" vertical="center"/>
      <protection/>
    </xf>
    <xf numFmtId="49" fontId="13" fillId="0" borderId="40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41" xfId="0" applyNumberFormat="1" applyFont="1" applyFill="1" applyBorder="1" applyAlignment="1" applyProtection="1">
      <alignment horizontal="left" vertical="center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49" fontId="13" fillId="0" borderId="43" xfId="0" applyNumberFormat="1" applyFont="1" applyFill="1" applyBorder="1" applyAlignment="1" applyProtection="1">
      <alignment horizontal="left" vertical="center"/>
      <protection/>
    </xf>
    <xf numFmtId="0" fontId="13" fillId="0" borderId="44" xfId="0" applyNumberFormat="1" applyFont="1" applyFill="1" applyBorder="1" applyAlignment="1" applyProtection="1">
      <alignment horizontal="left" vertical="center"/>
      <protection/>
    </xf>
    <xf numFmtId="0" fontId="13" fillId="0" borderId="45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0" fillId="0" borderId="51" xfId="0" applyFont="1" applyBorder="1" applyAlignment="1">
      <alignment horizontal="left" vertical="center"/>
    </xf>
    <xf numFmtId="0" fontId="0" fillId="0" borderId="51" xfId="0" applyFont="1" applyBorder="1" applyAlignment="1">
      <alignment vertical="center"/>
    </xf>
    <xf numFmtId="0" fontId="0" fillId="0" borderId="51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I23" sqref="I2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3"/>
      <c r="B1" s="46"/>
      <c r="C1" s="64" t="s">
        <v>283</v>
      </c>
      <c r="D1" s="65"/>
      <c r="E1" s="65"/>
      <c r="F1" s="65"/>
      <c r="G1" s="65"/>
      <c r="H1" s="65"/>
      <c r="I1" s="65"/>
    </row>
    <row r="2" spans="1:10" ht="12.75">
      <c r="A2" s="66" t="s">
        <v>1</v>
      </c>
      <c r="B2" s="67"/>
      <c r="C2" s="70" t="s">
        <v>119</v>
      </c>
      <c r="D2" s="71"/>
      <c r="E2" s="73" t="s">
        <v>222</v>
      </c>
      <c r="F2" s="73" t="s">
        <v>227</v>
      </c>
      <c r="G2" s="67"/>
      <c r="H2" s="73" t="s">
        <v>308</v>
      </c>
      <c r="I2" s="74" t="s">
        <v>312</v>
      </c>
      <c r="J2" s="30"/>
    </row>
    <row r="3" spans="1:10" ht="12.75">
      <c r="A3" s="68"/>
      <c r="B3" s="69"/>
      <c r="C3" s="72"/>
      <c r="D3" s="72"/>
      <c r="E3" s="69"/>
      <c r="F3" s="69"/>
      <c r="G3" s="69"/>
      <c r="H3" s="69"/>
      <c r="I3" s="75"/>
      <c r="J3" s="30"/>
    </row>
    <row r="4" spans="1:10" ht="12.75">
      <c r="A4" s="76" t="s">
        <v>2</v>
      </c>
      <c r="B4" s="69"/>
      <c r="C4" s="77" t="s">
        <v>120</v>
      </c>
      <c r="D4" s="69"/>
      <c r="E4" s="77" t="s">
        <v>223</v>
      </c>
      <c r="F4" s="77" t="s">
        <v>228</v>
      </c>
      <c r="G4" s="69"/>
      <c r="H4" s="77" t="s">
        <v>308</v>
      </c>
      <c r="I4" s="78" t="s">
        <v>313</v>
      </c>
      <c r="J4" s="30"/>
    </row>
    <row r="5" spans="1:10" ht="12.75">
      <c r="A5" s="68"/>
      <c r="B5" s="69"/>
      <c r="C5" s="69"/>
      <c r="D5" s="69"/>
      <c r="E5" s="69"/>
      <c r="F5" s="69"/>
      <c r="G5" s="69"/>
      <c r="H5" s="69"/>
      <c r="I5" s="75"/>
      <c r="J5" s="30"/>
    </row>
    <row r="6" spans="1:10" ht="12.75">
      <c r="A6" s="76" t="s">
        <v>3</v>
      </c>
      <c r="B6" s="69"/>
      <c r="C6" s="77" t="s">
        <v>121</v>
      </c>
      <c r="D6" s="69"/>
      <c r="E6" s="77" t="s">
        <v>224</v>
      </c>
      <c r="F6" s="77"/>
      <c r="G6" s="69"/>
      <c r="H6" s="77" t="s">
        <v>308</v>
      </c>
      <c r="I6" s="78"/>
      <c r="J6" s="30"/>
    </row>
    <row r="7" spans="1:10" ht="12.75">
      <c r="A7" s="68"/>
      <c r="B7" s="69"/>
      <c r="C7" s="69"/>
      <c r="D7" s="69"/>
      <c r="E7" s="69"/>
      <c r="F7" s="69"/>
      <c r="G7" s="69"/>
      <c r="H7" s="69"/>
      <c r="I7" s="75"/>
      <c r="J7" s="30"/>
    </row>
    <row r="8" spans="1:10" ht="12.75">
      <c r="A8" s="76" t="s">
        <v>205</v>
      </c>
      <c r="B8" s="69"/>
      <c r="C8" s="79"/>
      <c r="D8" s="69"/>
      <c r="E8" s="77" t="s">
        <v>206</v>
      </c>
      <c r="F8" s="69"/>
      <c r="G8" s="69"/>
      <c r="H8" s="80" t="s">
        <v>309</v>
      </c>
      <c r="I8" s="78" t="s">
        <v>54</v>
      </c>
      <c r="J8" s="30"/>
    </row>
    <row r="9" spans="1:10" ht="12.75">
      <c r="A9" s="68"/>
      <c r="B9" s="69"/>
      <c r="C9" s="69"/>
      <c r="D9" s="69"/>
      <c r="E9" s="69"/>
      <c r="F9" s="69"/>
      <c r="G9" s="69"/>
      <c r="H9" s="69"/>
      <c r="I9" s="75"/>
      <c r="J9" s="30"/>
    </row>
    <row r="10" spans="1:10" ht="12.75">
      <c r="A10" s="76" t="s">
        <v>4</v>
      </c>
      <c r="B10" s="69"/>
      <c r="C10" s="77">
        <v>803</v>
      </c>
      <c r="D10" s="69"/>
      <c r="E10" s="77" t="s">
        <v>225</v>
      </c>
      <c r="F10" s="77" t="s">
        <v>229</v>
      </c>
      <c r="G10" s="69"/>
      <c r="H10" s="80" t="s">
        <v>310</v>
      </c>
      <c r="I10" s="83"/>
      <c r="J10" s="30"/>
    </row>
    <row r="11" spans="1:10" ht="12.75">
      <c r="A11" s="81"/>
      <c r="B11" s="82"/>
      <c r="C11" s="82"/>
      <c r="D11" s="82"/>
      <c r="E11" s="82"/>
      <c r="F11" s="82"/>
      <c r="G11" s="82"/>
      <c r="H11" s="82"/>
      <c r="I11" s="84"/>
      <c r="J11" s="30"/>
    </row>
    <row r="12" spans="1:9" ht="23.25" customHeight="1">
      <c r="A12" s="85" t="s">
        <v>268</v>
      </c>
      <c r="B12" s="86"/>
      <c r="C12" s="86"/>
      <c r="D12" s="86"/>
      <c r="E12" s="86"/>
      <c r="F12" s="86"/>
      <c r="G12" s="86"/>
      <c r="H12" s="86"/>
      <c r="I12" s="86"/>
    </row>
    <row r="13" spans="1:10" ht="26.25" customHeight="1">
      <c r="A13" s="47" t="s">
        <v>269</v>
      </c>
      <c r="B13" s="87" t="s">
        <v>281</v>
      </c>
      <c r="C13" s="88"/>
      <c r="D13" s="47" t="s">
        <v>284</v>
      </c>
      <c r="E13" s="87" t="s">
        <v>293</v>
      </c>
      <c r="F13" s="88"/>
      <c r="G13" s="47" t="s">
        <v>294</v>
      </c>
      <c r="H13" s="87" t="s">
        <v>311</v>
      </c>
      <c r="I13" s="88"/>
      <c r="J13" s="30"/>
    </row>
    <row r="14" spans="1:10" ht="15" customHeight="1">
      <c r="A14" s="48" t="s">
        <v>270</v>
      </c>
      <c r="B14" s="52" t="s">
        <v>282</v>
      </c>
      <c r="C14" s="56">
        <f>SUM('Stavební rozpočet'!Q12:Q92)</f>
        <v>0</v>
      </c>
      <c r="D14" s="89" t="s">
        <v>285</v>
      </c>
      <c r="E14" s="90"/>
      <c r="F14" s="56">
        <v>0</v>
      </c>
      <c r="G14" s="89" t="s">
        <v>295</v>
      </c>
      <c r="H14" s="90"/>
      <c r="I14" s="56">
        <v>0</v>
      </c>
      <c r="J14" s="30"/>
    </row>
    <row r="15" spans="1:10" ht="15" customHeight="1">
      <c r="A15" s="49"/>
      <c r="B15" s="52" t="s">
        <v>226</v>
      </c>
      <c r="C15" s="56">
        <f>SUM('Stavební rozpočet'!R12:R92)</f>
        <v>0</v>
      </c>
      <c r="D15" s="89" t="s">
        <v>286</v>
      </c>
      <c r="E15" s="90"/>
      <c r="F15" s="56">
        <v>0</v>
      </c>
      <c r="G15" s="89" t="s">
        <v>296</v>
      </c>
      <c r="H15" s="90"/>
      <c r="I15" s="56">
        <v>0</v>
      </c>
      <c r="J15" s="30"/>
    </row>
    <row r="16" spans="1:10" ht="15" customHeight="1">
      <c r="A16" s="48" t="s">
        <v>271</v>
      </c>
      <c r="B16" s="52" t="s">
        <v>282</v>
      </c>
      <c r="C16" s="56">
        <f>SUM('Stavební rozpočet'!S12:S92)</f>
        <v>0</v>
      </c>
      <c r="D16" s="89" t="s">
        <v>287</v>
      </c>
      <c r="E16" s="90"/>
      <c r="F16" s="56">
        <v>0</v>
      </c>
      <c r="G16" s="89" t="s">
        <v>297</v>
      </c>
      <c r="H16" s="90"/>
      <c r="I16" s="56">
        <v>0</v>
      </c>
      <c r="J16" s="30"/>
    </row>
    <row r="17" spans="1:10" ht="15" customHeight="1">
      <c r="A17" s="49"/>
      <c r="B17" s="52" t="s">
        <v>226</v>
      </c>
      <c r="C17" s="56">
        <f>SUM('Stavební rozpočet'!T12:T92)</f>
        <v>0</v>
      </c>
      <c r="D17" s="89"/>
      <c r="E17" s="90"/>
      <c r="F17" s="57"/>
      <c r="G17" s="89" t="s">
        <v>298</v>
      </c>
      <c r="H17" s="90"/>
      <c r="I17" s="56">
        <v>0</v>
      </c>
      <c r="J17" s="30"/>
    </row>
    <row r="18" spans="1:10" ht="15" customHeight="1">
      <c r="A18" s="48" t="s">
        <v>272</v>
      </c>
      <c r="B18" s="52" t="s">
        <v>282</v>
      </c>
      <c r="C18" s="56">
        <f>SUM('Stavební rozpočet'!U12:U92)</f>
        <v>0</v>
      </c>
      <c r="D18" s="89"/>
      <c r="E18" s="90"/>
      <c r="F18" s="57"/>
      <c r="G18" s="89" t="s">
        <v>299</v>
      </c>
      <c r="H18" s="90"/>
      <c r="I18" s="56">
        <v>0</v>
      </c>
      <c r="J18" s="30"/>
    </row>
    <row r="19" spans="1:10" ht="15" customHeight="1">
      <c r="A19" s="49"/>
      <c r="B19" s="52" t="s">
        <v>226</v>
      </c>
      <c r="C19" s="56">
        <f>SUM('Stavební rozpočet'!V12:V92)</f>
        <v>0</v>
      </c>
      <c r="D19" s="89"/>
      <c r="E19" s="90"/>
      <c r="F19" s="57"/>
      <c r="G19" s="89" t="s">
        <v>300</v>
      </c>
      <c r="H19" s="90"/>
      <c r="I19" s="56">
        <v>0</v>
      </c>
      <c r="J19" s="30"/>
    </row>
    <row r="20" spans="1:10" ht="15" customHeight="1">
      <c r="A20" s="91" t="s">
        <v>273</v>
      </c>
      <c r="B20" s="92"/>
      <c r="C20" s="56">
        <f>SUM('Stavební rozpočet'!W12:W92)</f>
        <v>0</v>
      </c>
      <c r="D20" s="89"/>
      <c r="E20" s="90"/>
      <c r="F20" s="57"/>
      <c r="G20" s="89"/>
      <c r="H20" s="90"/>
      <c r="I20" s="57"/>
      <c r="J20" s="30"/>
    </row>
    <row r="21" spans="1:10" ht="15" customHeight="1">
      <c r="A21" s="91" t="s">
        <v>274</v>
      </c>
      <c r="B21" s="92"/>
      <c r="C21" s="56">
        <f>SUM('Stavební rozpočet'!O12:O92)</f>
        <v>0</v>
      </c>
      <c r="D21" s="89"/>
      <c r="E21" s="90"/>
      <c r="F21" s="57"/>
      <c r="G21" s="89"/>
      <c r="H21" s="90"/>
      <c r="I21" s="57"/>
      <c r="J21" s="30"/>
    </row>
    <row r="22" spans="1:10" ht="16.5" customHeight="1">
      <c r="A22" s="91" t="s">
        <v>275</v>
      </c>
      <c r="B22" s="92"/>
      <c r="C22" s="56">
        <f>SUM(C14:C21)</f>
        <v>0</v>
      </c>
      <c r="D22" s="91" t="s">
        <v>288</v>
      </c>
      <c r="E22" s="92"/>
      <c r="F22" s="56">
        <f>SUM(F14:F21)</f>
        <v>0</v>
      </c>
      <c r="G22" s="91" t="s">
        <v>301</v>
      </c>
      <c r="H22" s="92"/>
      <c r="I22" s="56">
        <f>SUM(I14:I21)</f>
        <v>0</v>
      </c>
      <c r="J22" s="30"/>
    </row>
    <row r="23" spans="1:10" ht="15" customHeight="1">
      <c r="A23" s="8"/>
      <c r="B23" s="8"/>
      <c r="C23" s="54"/>
      <c r="D23" s="91" t="s">
        <v>289</v>
      </c>
      <c r="E23" s="92"/>
      <c r="F23" s="58">
        <v>0</v>
      </c>
      <c r="G23" s="91" t="s">
        <v>302</v>
      </c>
      <c r="H23" s="92"/>
      <c r="I23" s="56">
        <v>0</v>
      </c>
      <c r="J23" s="30"/>
    </row>
    <row r="24" spans="4:9" ht="15" customHeight="1">
      <c r="D24" s="8"/>
      <c r="E24" s="8"/>
      <c r="F24" s="59"/>
      <c r="G24" s="91" t="s">
        <v>303</v>
      </c>
      <c r="H24" s="92"/>
      <c r="I24" s="61"/>
    </row>
    <row r="25" spans="6:10" ht="15" customHeight="1">
      <c r="F25" s="60"/>
      <c r="G25" s="91" t="s">
        <v>304</v>
      </c>
      <c r="H25" s="92"/>
      <c r="I25" s="56">
        <v>0</v>
      </c>
      <c r="J25" s="30"/>
    </row>
    <row r="26" spans="1:9" ht="12.75">
      <c r="A26" s="46"/>
      <c r="B26" s="46"/>
      <c r="C26" s="46"/>
      <c r="G26" s="8"/>
      <c r="H26" s="8"/>
      <c r="I26" s="8"/>
    </row>
    <row r="27" spans="1:9" ht="15" customHeight="1">
      <c r="A27" s="93" t="s">
        <v>276</v>
      </c>
      <c r="B27" s="94"/>
      <c r="C27" s="62">
        <f>SUM('Stavební rozpočet'!Y12:Y92)</f>
        <v>0</v>
      </c>
      <c r="D27" s="55"/>
      <c r="E27" s="46"/>
      <c r="F27" s="46"/>
      <c r="G27" s="46"/>
      <c r="H27" s="46"/>
      <c r="I27" s="46"/>
    </row>
    <row r="28" spans="1:10" ht="15" customHeight="1">
      <c r="A28" s="93" t="s">
        <v>277</v>
      </c>
      <c r="B28" s="94"/>
      <c r="C28" s="62">
        <f>SUM('Stavební rozpočet'!Z12:Z92)+(F22+I22+F23+I23+I24+I25)</f>
        <v>0</v>
      </c>
      <c r="D28" s="93" t="s">
        <v>290</v>
      </c>
      <c r="E28" s="94"/>
      <c r="F28" s="62">
        <f>ROUND(C28*(15/100),2)</f>
        <v>0</v>
      </c>
      <c r="G28" s="93" t="s">
        <v>305</v>
      </c>
      <c r="H28" s="94"/>
      <c r="I28" s="62">
        <f>SUM(C27:C29)</f>
        <v>0</v>
      </c>
      <c r="J28" s="30"/>
    </row>
    <row r="29" spans="1:10" ht="15" customHeight="1">
      <c r="A29" s="93" t="s">
        <v>278</v>
      </c>
      <c r="B29" s="94"/>
      <c r="C29" s="62">
        <f>SUM('Stavební rozpočet'!AA12:AA92)</f>
        <v>0</v>
      </c>
      <c r="D29" s="93" t="s">
        <v>291</v>
      </c>
      <c r="E29" s="94"/>
      <c r="F29" s="62">
        <f>ROUND(C29*(21/100),2)</f>
        <v>0</v>
      </c>
      <c r="G29" s="93" t="s">
        <v>306</v>
      </c>
      <c r="H29" s="94"/>
      <c r="I29" s="62">
        <f>SUM(F28:F29)+I28</f>
        <v>0</v>
      </c>
      <c r="J29" s="30"/>
    </row>
    <row r="30" spans="1:9" ht="12.75">
      <c r="A30" s="50"/>
      <c r="B30" s="50"/>
      <c r="C30" s="50"/>
      <c r="D30" s="50"/>
      <c r="E30" s="50"/>
      <c r="F30" s="50"/>
      <c r="G30" s="50"/>
      <c r="H30" s="50"/>
      <c r="I30" s="50"/>
    </row>
    <row r="31" spans="1:10" ht="14.25" customHeight="1">
      <c r="A31" s="95" t="s">
        <v>279</v>
      </c>
      <c r="B31" s="96"/>
      <c r="C31" s="97"/>
      <c r="D31" s="95" t="s">
        <v>292</v>
      </c>
      <c r="E31" s="96"/>
      <c r="F31" s="97"/>
      <c r="G31" s="95" t="s">
        <v>307</v>
      </c>
      <c r="H31" s="96"/>
      <c r="I31" s="97"/>
      <c r="J31" s="31"/>
    </row>
    <row r="32" spans="1:10" ht="14.25" customHeight="1">
      <c r="A32" s="98"/>
      <c r="B32" s="99"/>
      <c r="C32" s="100"/>
      <c r="D32" s="98"/>
      <c r="E32" s="99"/>
      <c r="F32" s="100"/>
      <c r="G32" s="98"/>
      <c r="H32" s="99"/>
      <c r="I32" s="100"/>
      <c r="J32" s="31"/>
    </row>
    <row r="33" spans="1:10" ht="14.25" customHeight="1">
      <c r="A33" s="98"/>
      <c r="B33" s="99"/>
      <c r="C33" s="100"/>
      <c r="D33" s="98"/>
      <c r="E33" s="99"/>
      <c r="F33" s="100"/>
      <c r="G33" s="98"/>
      <c r="H33" s="99"/>
      <c r="I33" s="100"/>
      <c r="J33" s="31"/>
    </row>
    <row r="34" spans="1:10" ht="14.25" customHeight="1">
      <c r="A34" s="98"/>
      <c r="B34" s="99"/>
      <c r="C34" s="100"/>
      <c r="D34" s="98"/>
      <c r="E34" s="99"/>
      <c r="F34" s="100"/>
      <c r="G34" s="98"/>
      <c r="H34" s="99"/>
      <c r="I34" s="100"/>
      <c r="J34" s="31"/>
    </row>
    <row r="35" spans="1:10" ht="14.25" customHeight="1">
      <c r="A35" s="101" t="s">
        <v>280</v>
      </c>
      <c r="B35" s="102"/>
      <c r="C35" s="103"/>
      <c r="D35" s="101" t="s">
        <v>280</v>
      </c>
      <c r="E35" s="102"/>
      <c r="F35" s="103"/>
      <c r="G35" s="101" t="s">
        <v>280</v>
      </c>
      <c r="H35" s="102"/>
      <c r="I35" s="103"/>
      <c r="J35" s="31"/>
    </row>
    <row r="36" spans="1:9" ht="11.25" customHeight="1">
      <c r="A36" s="51" t="s">
        <v>55</v>
      </c>
      <c r="B36" s="53"/>
      <c r="C36" s="53"/>
      <c r="D36" s="53"/>
      <c r="E36" s="53"/>
      <c r="F36" s="53"/>
      <c r="G36" s="53"/>
      <c r="H36" s="53"/>
      <c r="I36" s="53"/>
    </row>
    <row r="37" spans="1:9" ht="12.75">
      <c r="A37" s="77" t="s">
        <v>314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4">
      <selection activeCell="D21" sqref="D2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04" t="s">
        <v>261</v>
      </c>
      <c r="B1" s="105"/>
      <c r="C1" s="105"/>
      <c r="D1" s="105"/>
      <c r="E1" s="105"/>
      <c r="F1" s="105"/>
      <c r="G1" s="105"/>
    </row>
    <row r="2" spans="1:8" ht="12.75">
      <c r="A2" s="66" t="s">
        <v>1</v>
      </c>
      <c r="B2" s="70" t="s">
        <v>119</v>
      </c>
      <c r="C2" s="71"/>
      <c r="D2" s="73" t="s">
        <v>222</v>
      </c>
      <c r="E2" s="73" t="s">
        <v>227</v>
      </c>
      <c r="F2" s="67"/>
      <c r="G2" s="106"/>
      <c r="H2" s="30"/>
    </row>
    <row r="3" spans="1:8" ht="12.75">
      <c r="A3" s="68"/>
      <c r="B3" s="72"/>
      <c r="C3" s="72"/>
      <c r="D3" s="69"/>
      <c r="E3" s="69"/>
      <c r="F3" s="69"/>
      <c r="G3" s="75"/>
      <c r="H3" s="30"/>
    </row>
    <row r="4" spans="1:8" ht="12.75">
      <c r="A4" s="76" t="s">
        <v>2</v>
      </c>
      <c r="B4" s="77" t="s">
        <v>120</v>
      </c>
      <c r="C4" s="69"/>
      <c r="D4" s="77" t="s">
        <v>223</v>
      </c>
      <c r="E4" s="77" t="s">
        <v>228</v>
      </c>
      <c r="F4" s="69"/>
      <c r="G4" s="75"/>
      <c r="H4" s="30"/>
    </row>
    <row r="5" spans="1:8" ht="12.75">
      <c r="A5" s="68"/>
      <c r="B5" s="69"/>
      <c r="C5" s="69"/>
      <c r="D5" s="69"/>
      <c r="E5" s="69"/>
      <c r="F5" s="69"/>
      <c r="G5" s="75"/>
      <c r="H5" s="30"/>
    </row>
    <row r="6" spans="1:8" ht="12.75">
      <c r="A6" s="76" t="s">
        <v>3</v>
      </c>
      <c r="B6" s="77" t="s">
        <v>121</v>
      </c>
      <c r="C6" s="69"/>
      <c r="D6" s="77" t="s">
        <v>224</v>
      </c>
      <c r="E6" s="77"/>
      <c r="F6" s="69"/>
      <c r="G6" s="75"/>
      <c r="H6" s="30"/>
    </row>
    <row r="7" spans="1:8" ht="12.75">
      <c r="A7" s="68"/>
      <c r="B7" s="69"/>
      <c r="C7" s="69"/>
      <c r="D7" s="69"/>
      <c r="E7" s="69"/>
      <c r="F7" s="69"/>
      <c r="G7" s="75"/>
      <c r="H7" s="30"/>
    </row>
    <row r="8" spans="1:8" ht="12.75">
      <c r="A8" s="76" t="s">
        <v>225</v>
      </c>
      <c r="B8" s="77" t="s">
        <v>229</v>
      </c>
      <c r="C8" s="69"/>
      <c r="D8" s="80" t="s">
        <v>207</v>
      </c>
      <c r="E8" s="79"/>
      <c r="F8" s="69"/>
      <c r="G8" s="75"/>
      <c r="H8" s="30"/>
    </row>
    <row r="9" spans="1:8" ht="12.75">
      <c r="A9" s="107"/>
      <c r="B9" s="108"/>
      <c r="C9" s="108"/>
      <c r="D9" s="108"/>
      <c r="E9" s="108"/>
      <c r="F9" s="108"/>
      <c r="G9" s="109"/>
      <c r="H9" s="30"/>
    </row>
    <row r="10" spans="1:8" ht="12.75">
      <c r="A10" s="37" t="s">
        <v>56</v>
      </c>
      <c r="B10" s="39" t="s">
        <v>57</v>
      </c>
      <c r="C10" s="40" t="s">
        <v>262</v>
      </c>
      <c r="D10" s="41" t="s">
        <v>263</v>
      </c>
      <c r="E10" s="41" t="s">
        <v>264</v>
      </c>
      <c r="F10" s="41" t="s">
        <v>265</v>
      </c>
      <c r="G10" s="43" t="s">
        <v>266</v>
      </c>
      <c r="H10" s="31"/>
    </row>
    <row r="11" spans="1:9" ht="12.75">
      <c r="A11" s="38"/>
      <c r="B11" s="38" t="s">
        <v>27</v>
      </c>
      <c r="C11" s="38" t="s">
        <v>124</v>
      </c>
      <c r="D11" s="44">
        <f>'Stavební rozpočet'!H12</f>
        <v>0</v>
      </c>
      <c r="E11" s="44">
        <f>'Stavební rozpočet'!I12</f>
        <v>0</v>
      </c>
      <c r="F11" s="44">
        <f aca="true" t="shared" si="0" ref="F11:F24">D11+E11</f>
        <v>0</v>
      </c>
      <c r="G11" s="44">
        <f>'Stavební rozpočet'!L12</f>
        <v>0.0984</v>
      </c>
      <c r="H11" s="32" t="s">
        <v>267</v>
      </c>
      <c r="I11" s="32">
        <f aca="true" t="shared" si="1" ref="I11:I24">IF(H11="F",0,F11)</f>
        <v>0</v>
      </c>
    </row>
    <row r="12" spans="1:9" ht="12.75">
      <c r="A12" s="16"/>
      <c r="B12" s="16" t="s">
        <v>61</v>
      </c>
      <c r="C12" s="16" t="s">
        <v>128</v>
      </c>
      <c r="D12" s="32">
        <f>'Stavební rozpočet'!H16</f>
        <v>0</v>
      </c>
      <c r="E12" s="32">
        <f>'Stavební rozpočet'!I16</f>
        <v>0</v>
      </c>
      <c r="F12" s="32">
        <f t="shared" si="0"/>
        <v>0</v>
      </c>
      <c r="G12" s="32">
        <f>'Stavební rozpočet'!L16</f>
        <v>64.999288236</v>
      </c>
      <c r="H12" s="32" t="s">
        <v>267</v>
      </c>
      <c r="I12" s="32">
        <f t="shared" si="1"/>
        <v>0</v>
      </c>
    </row>
    <row r="13" spans="1:9" ht="12.75">
      <c r="A13" s="16"/>
      <c r="B13" s="16" t="s">
        <v>74</v>
      </c>
      <c r="C13" s="16" t="s">
        <v>148</v>
      </c>
      <c r="D13" s="32">
        <f>'Stavební rozpočet'!H37</f>
        <v>0</v>
      </c>
      <c r="E13" s="32">
        <f>'Stavební rozpočet'!I37</f>
        <v>0</v>
      </c>
      <c r="F13" s="32">
        <f t="shared" si="0"/>
        <v>0</v>
      </c>
      <c r="G13" s="32">
        <f>'Stavební rozpočet'!L37</f>
        <v>0.630584</v>
      </c>
      <c r="H13" s="32" t="s">
        <v>267</v>
      </c>
      <c r="I13" s="32">
        <f t="shared" si="1"/>
        <v>0</v>
      </c>
    </row>
    <row r="14" spans="1:9" ht="12.75">
      <c r="A14" s="16"/>
      <c r="B14" s="16" t="s">
        <v>85</v>
      </c>
      <c r="C14" s="16" t="s">
        <v>162</v>
      </c>
      <c r="D14" s="32">
        <f>'Stavební rozpočet'!H51</f>
        <v>0</v>
      </c>
      <c r="E14" s="32">
        <f>'Stavební rozpočet'!I51</f>
        <v>0</v>
      </c>
      <c r="F14" s="32">
        <f t="shared" si="0"/>
        <v>0</v>
      </c>
      <c r="G14" s="32">
        <f>'Stavební rozpočet'!L51</f>
        <v>0.07927200000000001</v>
      </c>
      <c r="H14" s="32" t="s">
        <v>267</v>
      </c>
      <c r="I14" s="32">
        <f t="shared" si="1"/>
        <v>0</v>
      </c>
    </row>
    <row r="15" spans="1:9" ht="12.75">
      <c r="A15" s="16"/>
      <c r="B15" s="16" t="s">
        <v>87</v>
      </c>
      <c r="C15" s="16" t="s">
        <v>165</v>
      </c>
      <c r="D15" s="32">
        <f>'Stavební rozpočet'!H54</f>
        <v>0</v>
      </c>
      <c r="E15" s="32">
        <f>'Stavební rozpočet'!I54</f>
        <v>0</v>
      </c>
      <c r="F15" s="32">
        <f t="shared" si="0"/>
        <v>0</v>
      </c>
      <c r="G15" s="32">
        <f>'Stavební rozpočet'!L54</f>
        <v>0</v>
      </c>
      <c r="H15" s="32" t="s">
        <v>267</v>
      </c>
      <c r="I15" s="32">
        <f t="shared" si="1"/>
        <v>0</v>
      </c>
    </row>
    <row r="16" spans="1:9" ht="12.75">
      <c r="A16" s="16"/>
      <c r="B16" s="16" t="s">
        <v>89</v>
      </c>
      <c r="C16" s="16" t="s">
        <v>168</v>
      </c>
      <c r="D16" s="32">
        <f>'Stavební rozpočet'!H57</f>
        <v>0</v>
      </c>
      <c r="E16" s="32">
        <f>'Stavební rozpočet'!I57</f>
        <v>0</v>
      </c>
      <c r="F16" s="32">
        <f t="shared" si="0"/>
        <v>0</v>
      </c>
      <c r="G16" s="32">
        <f>'Stavební rozpočet'!L57</f>
        <v>0.27005511</v>
      </c>
      <c r="H16" s="32" t="s">
        <v>267</v>
      </c>
      <c r="I16" s="32">
        <f t="shared" si="1"/>
        <v>0</v>
      </c>
    </row>
    <row r="17" spans="1:9" ht="12.75">
      <c r="A17" s="16"/>
      <c r="B17" s="16" t="s">
        <v>92</v>
      </c>
      <c r="C17" s="16" t="s">
        <v>173</v>
      </c>
      <c r="D17" s="32">
        <f>'Stavební rozpočet'!H62</f>
        <v>0</v>
      </c>
      <c r="E17" s="32">
        <f>'Stavební rozpočet'!I62</f>
        <v>0</v>
      </c>
      <c r="F17" s="32">
        <f t="shared" si="0"/>
        <v>0</v>
      </c>
      <c r="G17" s="32">
        <f>'Stavební rozpočet'!L62</f>
        <v>7.70138</v>
      </c>
      <c r="H17" s="32" t="s">
        <v>267</v>
      </c>
      <c r="I17" s="32">
        <f t="shared" si="1"/>
        <v>0</v>
      </c>
    </row>
    <row r="18" spans="1:9" ht="12.75">
      <c r="A18" s="16"/>
      <c r="B18" s="16" t="s">
        <v>101</v>
      </c>
      <c r="C18" s="16" t="s">
        <v>183</v>
      </c>
      <c r="D18" s="32">
        <f>'Stavební rozpočet'!H72</f>
        <v>0</v>
      </c>
      <c r="E18" s="32">
        <f>'Stavební rozpočet'!I72</f>
        <v>0</v>
      </c>
      <c r="F18" s="32">
        <f t="shared" si="0"/>
        <v>0</v>
      </c>
      <c r="G18" s="32">
        <f>'Stavební rozpočet'!L72</f>
        <v>16.8032</v>
      </c>
      <c r="H18" s="32" t="s">
        <v>267</v>
      </c>
      <c r="I18" s="32">
        <f t="shared" si="1"/>
        <v>0</v>
      </c>
    </row>
    <row r="19" spans="1:9" ht="12.75">
      <c r="A19" s="16"/>
      <c r="B19" s="16" t="s">
        <v>103</v>
      </c>
      <c r="C19" s="16" t="s">
        <v>186</v>
      </c>
      <c r="D19" s="32">
        <f>'Stavební rozpočet'!H75</f>
        <v>0</v>
      </c>
      <c r="E19" s="32">
        <f>'Stavební rozpočet'!I75</f>
        <v>0</v>
      </c>
      <c r="F19" s="32">
        <f t="shared" si="0"/>
        <v>0</v>
      </c>
      <c r="G19" s="32">
        <f>'Stavební rozpočet'!L75</f>
        <v>0</v>
      </c>
      <c r="H19" s="32" t="s">
        <v>267</v>
      </c>
      <c r="I19" s="32">
        <f t="shared" si="1"/>
        <v>0</v>
      </c>
    </row>
    <row r="20" spans="1:9" ht="12.75">
      <c r="A20" s="16"/>
      <c r="B20" s="16" t="s">
        <v>105</v>
      </c>
      <c r="C20" s="16" t="s">
        <v>188</v>
      </c>
      <c r="D20" s="32">
        <f>'Stavební rozpočet'!H77</f>
        <v>0</v>
      </c>
      <c r="E20" s="32">
        <f>'Stavební rozpočet'!I77</f>
        <v>0</v>
      </c>
      <c r="F20" s="32">
        <f t="shared" si="0"/>
        <v>0</v>
      </c>
      <c r="G20" s="32">
        <f>'Stavební rozpočet'!L77</f>
        <v>0</v>
      </c>
      <c r="H20" s="32" t="s">
        <v>267</v>
      </c>
      <c r="I20" s="32">
        <f t="shared" si="1"/>
        <v>0</v>
      </c>
    </row>
    <row r="21" spans="1:9" ht="12.75">
      <c r="A21" s="16"/>
      <c r="B21" s="16" t="s">
        <v>107</v>
      </c>
      <c r="C21" s="16" t="s">
        <v>190</v>
      </c>
      <c r="D21" s="32">
        <f>'Stavební rozpočet'!H79</f>
        <v>0</v>
      </c>
      <c r="E21" s="32">
        <f>'Stavební rozpočet'!I79</f>
        <v>0</v>
      </c>
      <c r="F21" s="32">
        <f t="shared" si="0"/>
        <v>0</v>
      </c>
      <c r="G21" s="32">
        <f>'Stavební rozpočet'!L79</f>
        <v>0</v>
      </c>
      <c r="H21" s="32" t="s">
        <v>267</v>
      </c>
      <c r="I21" s="32">
        <f t="shared" si="1"/>
        <v>0</v>
      </c>
    </row>
    <row r="22" spans="1:9" ht="12.75">
      <c r="A22" s="16"/>
      <c r="B22" s="16" t="s">
        <v>109</v>
      </c>
      <c r="C22" s="16" t="s">
        <v>192</v>
      </c>
      <c r="D22" s="32">
        <f>'Stavební rozpočet'!H81</f>
        <v>0</v>
      </c>
      <c r="E22" s="32">
        <f>'Stavební rozpočet'!I81</f>
        <v>0</v>
      </c>
      <c r="F22" s="32">
        <f t="shared" si="0"/>
        <v>0</v>
      </c>
      <c r="G22" s="32">
        <f>'Stavební rozpočet'!L81</f>
        <v>0</v>
      </c>
      <c r="H22" s="32" t="s">
        <v>267</v>
      </c>
      <c r="I22" s="32">
        <f t="shared" si="1"/>
        <v>0</v>
      </c>
    </row>
    <row r="23" spans="1:9" ht="12.75">
      <c r="A23" s="16"/>
      <c r="B23" s="16" t="s">
        <v>111</v>
      </c>
      <c r="C23" s="16" t="s">
        <v>194</v>
      </c>
      <c r="D23" s="32">
        <f>'Stavební rozpočet'!H83</f>
        <v>0</v>
      </c>
      <c r="E23" s="32">
        <f>'Stavební rozpočet'!I83</f>
        <v>0</v>
      </c>
      <c r="F23" s="32">
        <f t="shared" si="0"/>
        <v>0</v>
      </c>
      <c r="G23" s="32">
        <f>'Stavební rozpočet'!L83</f>
        <v>0</v>
      </c>
      <c r="H23" s="32" t="s">
        <v>267</v>
      </c>
      <c r="I23" s="32">
        <f t="shared" si="1"/>
        <v>0</v>
      </c>
    </row>
    <row r="24" spans="1:9" ht="12.75">
      <c r="A24" s="16"/>
      <c r="B24" s="16" t="s">
        <v>113</v>
      </c>
      <c r="C24" s="16" t="s">
        <v>196</v>
      </c>
      <c r="D24" s="32">
        <f>'Stavební rozpočet'!H85</f>
        <v>0</v>
      </c>
      <c r="E24" s="32">
        <f>'Stavební rozpočet'!I85</f>
        <v>0</v>
      </c>
      <c r="F24" s="32">
        <f t="shared" si="0"/>
        <v>0</v>
      </c>
      <c r="G24" s="32">
        <f>'Stavební rozpočet'!L85</f>
        <v>0</v>
      </c>
      <c r="H24" s="32" t="s">
        <v>267</v>
      </c>
      <c r="I24" s="32">
        <f t="shared" si="1"/>
        <v>0</v>
      </c>
    </row>
    <row r="26" spans="5:6" ht="12.75">
      <c r="E26" s="42" t="s">
        <v>221</v>
      </c>
      <c r="F26" s="45">
        <f>SUM(I11:I24)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8"/>
  <sheetViews>
    <sheetView tabSelected="1" zoomScalePageLayoutView="0" workbookViewId="0" topLeftCell="A91">
      <selection activeCell="D112" sqref="D112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0.7109375" style="0" customWidth="1"/>
    <col min="5" max="5" width="7.574218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0" style="0" hidden="1" customWidth="1"/>
    <col min="14" max="47" width="12.140625" style="0" hidden="1" customWidth="1"/>
  </cols>
  <sheetData>
    <row r="1" spans="1:12" ht="72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3" ht="12.75">
      <c r="A2" s="66" t="s">
        <v>1</v>
      </c>
      <c r="B2" s="67"/>
      <c r="C2" s="67"/>
      <c r="D2" s="70" t="s">
        <v>119</v>
      </c>
      <c r="E2" s="110" t="s">
        <v>204</v>
      </c>
      <c r="F2" s="67"/>
      <c r="G2" s="110"/>
      <c r="H2" s="67"/>
      <c r="I2" s="73" t="s">
        <v>222</v>
      </c>
      <c r="J2" s="73" t="s">
        <v>227</v>
      </c>
      <c r="K2" s="67"/>
      <c r="L2" s="67"/>
      <c r="M2" s="30"/>
    </row>
    <row r="3" spans="1:13" ht="12.75">
      <c r="A3" s="68"/>
      <c r="B3" s="69"/>
      <c r="C3" s="69"/>
      <c r="D3" s="72"/>
      <c r="E3" s="69"/>
      <c r="F3" s="69"/>
      <c r="G3" s="69"/>
      <c r="H3" s="69"/>
      <c r="I3" s="69"/>
      <c r="J3" s="69"/>
      <c r="K3" s="69"/>
      <c r="L3" s="69"/>
      <c r="M3" s="30"/>
    </row>
    <row r="4" spans="1:13" ht="12.75">
      <c r="A4" s="76" t="s">
        <v>2</v>
      </c>
      <c r="B4" s="69"/>
      <c r="C4" s="69"/>
      <c r="D4" s="77" t="s">
        <v>120</v>
      </c>
      <c r="E4" s="80" t="s">
        <v>205</v>
      </c>
      <c r="F4" s="69"/>
      <c r="G4" s="79"/>
      <c r="H4" s="69"/>
      <c r="I4" s="77" t="s">
        <v>223</v>
      </c>
      <c r="J4" s="77" t="s">
        <v>228</v>
      </c>
      <c r="K4" s="69"/>
      <c r="L4" s="69"/>
      <c r="M4" s="30"/>
    </row>
    <row r="5" spans="1:13" ht="12.7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30"/>
    </row>
    <row r="6" spans="1:13" ht="12.75">
      <c r="A6" s="76" t="s">
        <v>3</v>
      </c>
      <c r="B6" s="69"/>
      <c r="C6" s="69"/>
      <c r="D6" s="77" t="s">
        <v>121</v>
      </c>
      <c r="E6" s="80" t="s">
        <v>206</v>
      </c>
      <c r="F6" s="69"/>
      <c r="G6" s="69"/>
      <c r="H6" s="69"/>
      <c r="I6" s="77" t="s">
        <v>224</v>
      </c>
      <c r="J6" s="77"/>
      <c r="K6" s="69"/>
      <c r="L6" s="69"/>
      <c r="M6" s="30"/>
    </row>
    <row r="7" spans="1:13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30"/>
    </row>
    <row r="8" spans="1:13" ht="12.75">
      <c r="A8" s="76" t="s">
        <v>4</v>
      </c>
      <c r="B8" s="69"/>
      <c r="C8" s="69"/>
      <c r="D8" s="77">
        <v>803</v>
      </c>
      <c r="E8" s="80" t="s">
        <v>207</v>
      </c>
      <c r="F8" s="69"/>
      <c r="G8" s="79"/>
      <c r="H8" s="69"/>
      <c r="I8" s="77" t="s">
        <v>225</v>
      </c>
      <c r="J8" s="77" t="s">
        <v>229</v>
      </c>
      <c r="K8" s="69"/>
      <c r="L8" s="69"/>
      <c r="M8" s="30"/>
    </row>
    <row r="9" spans="1:13" ht="12.75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30"/>
    </row>
    <row r="10" spans="1:13" ht="12.75">
      <c r="A10" s="1" t="s">
        <v>5</v>
      </c>
      <c r="B10" s="10" t="s">
        <v>56</v>
      </c>
      <c r="C10" s="10" t="s">
        <v>57</v>
      </c>
      <c r="D10" s="10" t="s">
        <v>122</v>
      </c>
      <c r="E10" s="10" t="s">
        <v>208</v>
      </c>
      <c r="F10" s="17" t="s">
        <v>216</v>
      </c>
      <c r="G10" s="21" t="s">
        <v>217</v>
      </c>
      <c r="H10" s="111" t="s">
        <v>219</v>
      </c>
      <c r="I10" s="112"/>
      <c r="J10" s="113"/>
      <c r="K10" s="111" t="s">
        <v>231</v>
      </c>
      <c r="L10" s="113"/>
      <c r="M10" s="31"/>
    </row>
    <row r="11" spans="1:23" ht="12.75">
      <c r="A11" s="2" t="s">
        <v>6</v>
      </c>
      <c r="B11" s="11" t="s">
        <v>6</v>
      </c>
      <c r="C11" s="11" t="s">
        <v>6</v>
      </c>
      <c r="D11" s="14" t="s">
        <v>123</v>
      </c>
      <c r="E11" s="11" t="s">
        <v>6</v>
      </c>
      <c r="F11" s="11" t="s">
        <v>6</v>
      </c>
      <c r="G11" s="22" t="s">
        <v>218</v>
      </c>
      <c r="H11" s="23" t="s">
        <v>220</v>
      </c>
      <c r="I11" s="24" t="s">
        <v>226</v>
      </c>
      <c r="J11" s="25" t="s">
        <v>230</v>
      </c>
      <c r="K11" s="23" t="s">
        <v>217</v>
      </c>
      <c r="L11" s="25" t="s">
        <v>230</v>
      </c>
      <c r="M11" s="31"/>
      <c r="O11" s="27" t="s">
        <v>232</v>
      </c>
      <c r="P11" s="27" t="s">
        <v>233</v>
      </c>
      <c r="Q11" s="27" t="s">
        <v>234</v>
      </c>
      <c r="R11" s="27" t="s">
        <v>235</v>
      </c>
      <c r="S11" s="27" t="s">
        <v>236</v>
      </c>
      <c r="T11" s="27" t="s">
        <v>237</v>
      </c>
      <c r="U11" s="27" t="s">
        <v>238</v>
      </c>
      <c r="V11" s="27" t="s">
        <v>239</v>
      </c>
      <c r="W11" s="27" t="s">
        <v>240</v>
      </c>
    </row>
    <row r="12" spans="1:36" ht="12.75">
      <c r="A12" s="3"/>
      <c r="B12" s="12"/>
      <c r="C12" s="12" t="s">
        <v>27</v>
      </c>
      <c r="D12" s="114" t="s">
        <v>124</v>
      </c>
      <c r="E12" s="115"/>
      <c r="F12" s="115"/>
      <c r="G12" s="115"/>
      <c r="H12" s="34">
        <f>SUM(H13:H15)</f>
        <v>0</v>
      </c>
      <c r="I12" s="34">
        <f>SUM(I13:I15)</f>
        <v>0</v>
      </c>
      <c r="J12" s="34">
        <f>H12+I12</f>
        <v>0</v>
      </c>
      <c r="K12" s="26"/>
      <c r="L12" s="34">
        <f>SUM(L13:L15)</f>
        <v>0.0984</v>
      </c>
      <c r="X12" s="27"/>
      <c r="AH12" s="35">
        <f>SUM(Y13:Y15)</f>
        <v>0</v>
      </c>
      <c r="AI12" s="35">
        <f>SUM(Z13:Z15)</f>
        <v>0</v>
      </c>
      <c r="AJ12" s="35">
        <f>SUM(AA13:AA15)</f>
        <v>0</v>
      </c>
    </row>
    <row r="13" spans="1:47" ht="12.75">
      <c r="A13" s="4" t="s">
        <v>7</v>
      </c>
      <c r="B13" s="4"/>
      <c r="C13" s="4" t="s">
        <v>58</v>
      </c>
      <c r="D13" s="4" t="s">
        <v>125</v>
      </c>
      <c r="E13" s="4" t="s">
        <v>209</v>
      </c>
      <c r="F13" s="18">
        <v>160</v>
      </c>
      <c r="G13" s="18">
        <v>0</v>
      </c>
      <c r="H13" s="18">
        <f>F13*AD13</f>
        <v>0</v>
      </c>
      <c r="I13" s="18">
        <f>J13-H13</f>
        <v>0</v>
      </c>
      <c r="J13" s="18">
        <f>F13*G13</f>
        <v>0</v>
      </c>
      <c r="K13" s="18">
        <v>4E-05</v>
      </c>
      <c r="L13" s="18">
        <f>F13*K13</f>
        <v>0.0064</v>
      </c>
      <c r="O13" s="32">
        <f>IF(AF13="5",J13,0)</f>
        <v>0</v>
      </c>
      <c r="Q13" s="32">
        <f>IF(AF13="1",H13,0)</f>
        <v>0</v>
      </c>
      <c r="R13" s="32">
        <f>IF(AF13="1",I13,0)</f>
        <v>0</v>
      </c>
      <c r="S13" s="32">
        <f>IF(AF13="7",H13,0)</f>
        <v>0</v>
      </c>
      <c r="T13" s="32">
        <f>IF(AF13="7",I13,0)</f>
        <v>0</v>
      </c>
      <c r="U13" s="32">
        <f>IF(AF13="2",H13,0)</f>
        <v>0</v>
      </c>
      <c r="V13" s="32">
        <f>IF(AF13="2",I13,0)</f>
        <v>0</v>
      </c>
      <c r="W13" s="32">
        <f>IF(AF13="0",J13,0)</f>
        <v>0</v>
      </c>
      <c r="X13" s="27"/>
      <c r="Y13" s="18">
        <f>IF(AC13=0,J13,0)</f>
        <v>0</v>
      </c>
      <c r="Z13" s="18">
        <f>IF(AC13=15,J13,0)</f>
        <v>0</v>
      </c>
      <c r="AA13" s="18">
        <f>IF(AC13=21,J13,0)</f>
        <v>0</v>
      </c>
      <c r="AC13" s="32">
        <v>15</v>
      </c>
      <c r="AD13" s="32">
        <f>G13*0.0274193548387097</f>
        <v>0</v>
      </c>
      <c r="AE13" s="32">
        <f>G13*(1-0.0274193548387097)</f>
        <v>0</v>
      </c>
      <c r="AF13" s="28" t="s">
        <v>7</v>
      </c>
      <c r="AL13" s="32">
        <f>F13*AD13</f>
        <v>0</v>
      </c>
      <c r="AM13" s="32">
        <f>F13*AE13</f>
        <v>0</v>
      </c>
      <c r="AN13" s="33" t="s">
        <v>241</v>
      </c>
      <c r="AO13" s="33" t="s">
        <v>255</v>
      </c>
      <c r="AP13" s="27" t="s">
        <v>260</v>
      </c>
      <c r="AR13" s="32">
        <f>AL13+AM13</f>
        <v>0</v>
      </c>
      <c r="AS13" s="32">
        <f>G13/(100-AT13)*100</f>
        <v>0</v>
      </c>
      <c r="AT13" s="32">
        <v>0</v>
      </c>
      <c r="AU13" s="32">
        <f>L13</f>
        <v>0.0064</v>
      </c>
    </row>
    <row r="14" spans="1:47" ht="12.75">
      <c r="A14" s="5" t="s">
        <v>8</v>
      </c>
      <c r="B14" s="5"/>
      <c r="C14" s="5" t="s">
        <v>59</v>
      </c>
      <c r="D14" s="5" t="s">
        <v>126</v>
      </c>
      <c r="E14" s="5" t="s">
        <v>209</v>
      </c>
      <c r="F14" s="19">
        <v>120</v>
      </c>
      <c r="G14" s="19">
        <v>0</v>
      </c>
      <c r="H14" s="19">
        <f>F14*AD14</f>
        <v>0</v>
      </c>
      <c r="I14" s="19">
        <f>J14-H14</f>
        <v>0</v>
      </c>
      <c r="J14" s="19">
        <f>F14*G14</f>
        <v>0</v>
      </c>
      <c r="K14" s="19">
        <v>0.0005</v>
      </c>
      <c r="L14" s="19">
        <f>F14*K14</f>
        <v>0.06</v>
      </c>
      <c r="O14" s="32">
        <f>IF(AF14="5",J14,0)</f>
        <v>0</v>
      </c>
      <c r="Q14" s="32">
        <f>IF(AF14="1",H14,0)</f>
        <v>0</v>
      </c>
      <c r="R14" s="32">
        <f>IF(AF14="1",I14,0)</f>
        <v>0</v>
      </c>
      <c r="S14" s="32">
        <f>IF(AF14="7",H14,0)</f>
        <v>0</v>
      </c>
      <c r="T14" s="32">
        <f>IF(AF14="7",I14,0)</f>
        <v>0</v>
      </c>
      <c r="U14" s="32">
        <f>IF(AF14="2",H14,0)</f>
        <v>0</v>
      </c>
      <c r="V14" s="32">
        <f>IF(AF14="2",I14,0)</f>
        <v>0</v>
      </c>
      <c r="W14" s="32">
        <f>IF(AF14="0",J14,0)</f>
        <v>0</v>
      </c>
      <c r="X14" s="27"/>
      <c r="Y14" s="19">
        <f>IF(AC14=0,J14,0)</f>
        <v>0</v>
      </c>
      <c r="Z14" s="19">
        <f>IF(AC14=15,J14,0)</f>
        <v>0</v>
      </c>
      <c r="AA14" s="19">
        <f>IF(AC14=21,J14,0)</f>
        <v>0</v>
      </c>
      <c r="AC14" s="32">
        <v>15</v>
      </c>
      <c r="AD14" s="32">
        <f>G14*1</f>
        <v>0</v>
      </c>
      <c r="AE14" s="32">
        <f>G14*(1-1)</f>
        <v>0</v>
      </c>
      <c r="AF14" s="29" t="s">
        <v>7</v>
      </c>
      <c r="AL14" s="32">
        <f>F14*AD14</f>
        <v>0</v>
      </c>
      <c r="AM14" s="32">
        <f>F14*AE14</f>
        <v>0</v>
      </c>
      <c r="AN14" s="33" t="s">
        <v>241</v>
      </c>
      <c r="AO14" s="33" t="s">
        <v>255</v>
      </c>
      <c r="AP14" s="27" t="s">
        <v>260</v>
      </c>
      <c r="AR14" s="32">
        <f>AL14+AM14</f>
        <v>0</v>
      </c>
      <c r="AS14" s="32">
        <f>G14/(100-AT14)*100</f>
        <v>0</v>
      </c>
      <c r="AT14" s="32">
        <v>0</v>
      </c>
      <c r="AU14" s="32">
        <f>L14</f>
        <v>0.06</v>
      </c>
    </row>
    <row r="15" spans="1:47" ht="12.75">
      <c r="A15" s="5" t="s">
        <v>9</v>
      </c>
      <c r="B15" s="5"/>
      <c r="C15" s="5" t="s">
        <v>60</v>
      </c>
      <c r="D15" s="5" t="s">
        <v>127</v>
      </c>
      <c r="E15" s="5" t="s">
        <v>209</v>
      </c>
      <c r="F15" s="19">
        <v>320</v>
      </c>
      <c r="G15" s="19">
        <v>0</v>
      </c>
      <c r="H15" s="19">
        <f>F15*AD15</f>
        <v>0</v>
      </c>
      <c r="I15" s="19">
        <f>J15-H15</f>
        <v>0</v>
      </c>
      <c r="J15" s="19">
        <f>F15*G15</f>
        <v>0</v>
      </c>
      <c r="K15" s="19">
        <v>0.0001</v>
      </c>
      <c r="L15" s="19">
        <f>F15*K15</f>
        <v>0.032</v>
      </c>
      <c r="O15" s="32">
        <f>IF(AF15="5",J15,0)</f>
        <v>0</v>
      </c>
      <c r="Q15" s="32">
        <f>IF(AF15="1",H15,0)</f>
        <v>0</v>
      </c>
      <c r="R15" s="32">
        <f>IF(AF15="1",I15,0)</f>
        <v>0</v>
      </c>
      <c r="S15" s="32">
        <f>IF(AF15="7",H15,0)</f>
        <v>0</v>
      </c>
      <c r="T15" s="32">
        <f>IF(AF15="7",I15,0)</f>
        <v>0</v>
      </c>
      <c r="U15" s="32">
        <f>IF(AF15="2",H15,0)</f>
        <v>0</v>
      </c>
      <c r="V15" s="32">
        <f>IF(AF15="2",I15,0)</f>
        <v>0</v>
      </c>
      <c r="W15" s="32">
        <f>IF(AF15="0",J15,0)</f>
        <v>0</v>
      </c>
      <c r="X15" s="27"/>
      <c r="Y15" s="19">
        <f>IF(AC15=0,J15,0)</f>
        <v>0</v>
      </c>
      <c r="Z15" s="19">
        <f>IF(AC15=15,J15,0)</f>
        <v>0</v>
      </c>
      <c r="AA15" s="19">
        <f>IF(AC15=21,J15,0)</f>
        <v>0</v>
      </c>
      <c r="AC15" s="32">
        <v>15</v>
      </c>
      <c r="AD15" s="32">
        <f>G15*1</f>
        <v>0</v>
      </c>
      <c r="AE15" s="32">
        <f>G15*(1-1)</f>
        <v>0</v>
      </c>
      <c r="AF15" s="29" t="s">
        <v>7</v>
      </c>
      <c r="AL15" s="32">
        <f>F15*AD15</f>
        <v>0</v>
      </c>
      <c r="AM15" s="32">
        <f>F15*AE15</f>
        <v>0</v>
      </c>
      <c r="AN15" s="33" t="s">
        <v>241</v>
      </c>
      <c r="AO15" s="33" t="s">
        <v>255</v>
      </c>
      <c r="AP15" s="27" t="s">
        <v>260</v>
      </c>
      <c r="AR15" s="32">
        <f>AL15+AM15</f>
        <v>0</v>
      </c>
      <c r="AS15" s="32">
        <f>G15/(100-AT15)*100</f>
        <v>0</v>
      </c>
      <c r="AT15" s="32">
        <v>0</v>
      </c>
      <c r="AU15" s="32">
        <f>L15</f>
        <v>0.032</v>
      </c>
    </row>
    <row r="16" spans="1:36" ht="12.75">
      <c r="A16" s="6"/>
      <c r="B16" s="13"/>
      <c r="C16" s="13" t="s">
        <v>61</v>
      </c>
      <c r="D16" s="116" t="s">
        <v>128</v>
      </c>
      <c r="E16" s="117"/>
      <c r="F16" s="117"/>
      <c r="G16" s="117"/>
      <c r="H16" s="35">
        <f>SUM(H17:H35)</f>
        <v>0</v>
      </c>
      <c r="I16" s="35">
        <f>SUM(I17:I35)</f>
        <v>0</v>
      </c>
      <c r="J16" s="35">
        <f>H16+I16</f>
        <v>0</v>
      </c>
      <c r="K16" s="27"/>
      <c r="L16" s="35">
        <f>SUM(L17:L35)</f>
        <v>64.999288236</v>
      </c>
      <c r="X16" s="27"/>
      <c r="AH16" s="35">
        <f>SUM(Y17:Y35)</f>
        <v>0</v>
      </c>
      <c r="AI16" s="35">
        <f>SUM(Z17:Z35)</f>
        <v>0</v>
      </c>
      <c r="AJ16" s="35">
        <f>SUM(AA17:AA35)</f>
        <v>0</v>
      </c>
    </row>
    <row r="17" spans="1:47" ht="12.75">
      <c r="A17" s="4" t="s">
        <v>10</v>
      </c>
      <c r="B17" s="4"/>
      <c r="C17" s="4" t="s">
        <v>62</v>
      </c>
      <c r="D17" s="4" t="s">
        <v>129</v>
      </c>
      <c r="E17" s="4" t="s">
        <v>209</v>
      </c>
      <c r="F17" s="18">
        <v>262.18</v>
      </c>
      <c r="G17" s="18">
        <v>0</v>
      </c>
      <c r="H17" s="18">
        <f>F17*AD17</f>
        <v>0</v>
      </c>
      <c r="I17" s="18">
        <f>J17-H17</f>
        <v>0</v>
      </c>
      <c r="J17" s="18">
        <f>F17*G17</f>
        <v>0</v>
      </c>
      <c r="K17" s="18">
        <v>2E-05</v>
      </c>
      <c r="L17" s="18">
        <f>F17*K17</f>
        <v>0.0052436</v>
      </c>
      <c r="O17" s="32">
        <f>IF(AF17="5",J17,0)</f>
        <v>0</v>
      </c>
      <c r="Q17" s="32">
        <f>IF(AF17="1",H17,0)</f>
        <v>0</v>
      </c>
      <c r="R17" s="32">
        <f>IF(AF17="1",I17,0)</f>
        <v>0</v>
      </c>
      <c r="S17" s="32">
        <f>IF(AF17="7",H17,0)</f>
        <v>0</v>
      </c>
      <c r="T17" s="32">
        <f>IF(AF17="7",I17,0)</f>
        <v>0</v>
      </c>
      <c r="U17" s="32">
        <f>IF(AF17="2",H17,0)</f>
        <v>0</v>
      </c>
      <c r="V17" s="32">
        <f>IF(AF17="2",I17,0)</f>
        <v>0</v>
      </c>
      <c r="W17" s="32">
        <f>IF(AF17="0",J17,0)</f>
        <v>0</v>
      </c>
      <c r="X17" s="27"/>
      <c r="Y17" s="18">
        <f>IF(AC17=0,J17,0)</f>
        <v>0</v>
      </c>
      <c r="Z17" s="18">
        <f>IF(AC17=15,J17,0)</f>
        <v>0</v>
      </c>
      <c r="AA17" s="18">
        <f>IF(AC17=21,J17,0)</f>
        <v>0</v>
      </c>
      <c r="AC17" s="32">
        <v>15</v>
      </c>
      <c r="AD17" s="32">
        <f>G17*0.0712790697674418</f>
        <v>0</v>
      </c>
      <c r="AE17" s="32">
        <f>G17*(1-0.0712790697674418)</f>
        <v>0</v>
      </c>
      <c r="AF17" s="28" t="s">
        <v>7</v>
      </c>
      <c r="AL17" s="32">
        <f>F17*AD17</f>
        <v>0</v>
      </c>
      <c r="AM17" s="32">
        <f>F17*AE17</f>
        <v>0</v>
      </c>
      <c r="AN17" s="33" t="s">
        <v>242</v>
      </c>
      <c r="AO17" s="33" t="s">
        <v>256</v>
      </c>
      <c r="AP17" s="27" t="s">
        <v>260</v>
      </c>
      <c r="AR17" s="32">
        <f>AL17+AM17</f>
        <v>0</v>
      </c>
      <c r="AS17" s="32">
        <f>G17/(100-AT17)*100</f>
        <v>0</v>
      </c>
      <c r="AT17" s="32">
        <v>0</v>
      </c>
      <c r="AU17" s="32">
        <f>L17</f>
        <v>0.0052436</v>
      </c>
    </row>
    <row r="18" spans="1:47" ht="12.75">
      <c r="A18" s="4" t="s">
        <v>11</v>
      </c>
      <c r="B18" s="4"/>
      <c r="C18" s="4" t="s">
        <v>63</v>
      </c>
      <c r="D18" s="4" t="s">
        <v>130</v>
      </c>
      <c r="E18" s="4" t="s">
        <v>209</v>
      </c>
      <c r="F18" s="18">
        <v>284.8</v>
      </c>
      <c r="G18" s="18">
        <v>0</v>
      </c>
      <c r="H18" s="18">
        <f>F18*AD18</f>
        <v>0</v>
      </c>
      <c r="I18" s="18">
        <f>J18-H18</f>
        <v>0</v>
      </c>
      <c r="J18" s="18">
        <f>F18*G18</f>
        <v>0</v>
      </c>
      <c r="K18" s="18">
        <v>0</v>
      </c>
      <c r="L18" s="18">
        <f>F18*K18</f>
        <v>0</v>
      </c>
      <c r="O18" s="32">
        <f>IF(AF18="5",J18,0)</f>
        <v>0</v>
      </c>
      <c r="Q18" s="32">
        <f>IF(AF18="1",H18,0)</f>
        <v>0</v>
      </c>
      <c r="R18" s="32">
        <f>IF(AF18="1",I18,0)</f>
        <v>0</v>
      </c>
      <c r="S18" s="32">
        <f>IF(AF18="7",H18,0)</f>
        <v>0</v>
      </c>
      <c r="T18" s="32">
        <f>IF(AF18="7",I18,0)</f>
        <v>0</v>
      </c>
      <c r="U18" s="32">
        <f>IF(AF18="2",H18,0)</f>
        <v>0</v>
      </c>
      <c r="V18" s="32">
        <f>IF(AF18="2",I18,0)</f>
        <v>0</v>
      </c>
      <c r="W18" s="32">
        <f>IF(AF18="0",J18,0)</f>
        <v>0</v>
      </c>
      <c r="X18" s="27"/>
      <c r="Y18" s="18">
        <f>IF(AC18=0,J18,0)</f>
        <v>0</v>
      </c>
      <c r="Z18" s="18">
        <f>IF(AC18=15,J18,0)</f>
        <v>0</v>
      </c>
      <c r="AA18" s="18">
        <f>IF(AC18=21,J18,0)</f>
        <v>0</v>
      </c>
      <c r="AC18" s="32">
        <v>15</v>
      </c>
      <c r="AD18" s="32">
        <f>G18*0</f>
        <v>0</v>
      </c>
      <c r="AE18" s="32">
        <f>G18*(1-0)</f>
        <v>0</v>
      </c>
      <c r="AF18" s="28" t="s">
        <v>7</v>
      </c>
      <c r="AL18" s="32">
        <f>F18*AD18</f>
        <v>0</v>
      </c>
      <c r="AM18" s="32">
        <f>F18*AE18</f>
        <v>0</v>
      </c>
      <c r="AN18" s="33" t="s">
        <v>242</v>
      </c>
      <c r="AO18" s="33" t="s">
        <v>256</v>
      </c>
      <c r="AP18" s="27" t="s">
        <v>260</v>
      </c>
      <c r="AR18" s="32">
        <f>AL18+AM18</f>
        <v>0</v>
      </c>
      <c r="AS18" s="32">
        <f>G18/(100-AT18)*100</f>
        <v>0</v>
      </c>
      <c r="AT18" s="32">
        <v>0</v>
      </c>
      <c r="AU18" s="32">
        <f>L18</f>
        <v>0</v>
      </c>
    </row>
    <row r="19" ht="12.75">
      <c r="D19" s="15" t="s">
        <v>131</v>
      </c>
    </row>
    <row r="20" spans="1:47" ht="12.75">
      <c r="A20" s="4" t="s">
        <v>12</v>
      </c>
      <c r="B20" s="4"/>
      <c r="C20" s="4" t="s">
        <v>64</v>
      </c>
      <c r="D20" s="4" t="s">
        <v>132</v>
      </c>
      <c r="E20" s="4" t="s">
        <v>209</v>
      </c>
      <c r="F20" s="18">
        <v>262.1868</v>
      </c>
      <c r="G20" s="18">
        <v>0</v>
      </c>
      <c r="H20" s="18">
        <f>F20*AD20</f>
        <v>0</v>
      </c>
      <c r="I20" s="18">
        <f>J20-H20</f>
        <v>0</v>
      </c>
      <c r="J20" s="18">
        <f>F20*G20</f>
        <v>0</v>
      </c>
      <c r="K20" s="18">
        <v>2E-05</v>
      </c>
      <c r="L20" s="18">
        <f>F20*K20</f>
        <v>0.005243736000000001</v>
      </c>
      <c r="O20" s="32">
        <f>IF(AF20="5",J20,0)</f>
        <v>0</v>
      </c>
      <c r="Q20" s="32">
        <f>IF(AF20="1",H20,0)</f>
        <v>0</v>
      </c>
      <c r="R20" s="32">
        <f>IF(AF20="1",I20,0)</f>
        <v>0</v>
      </c>
      <c r="S20" s="32">
        <f>IF(AF20="7",H20,0)</f>
        <v>0</v>
      </c>
      <c r="T20" s="32">
        <f>IF(AF20="7",I20,0)</f>
        <v>0</v>
      </c>
      <c r="U20" s="32">
        <f>IF(AF20="2",H20,0)</f>
        <v>0</v>
      </c>
      <c r="V20" s="32">
        <f>IF(AF20="2",I20,0)</f>
        <v>0</v>
      </c>
      <c r="W20" s="32">
        <f>IF(AF20="0",J20,0)</f>
        <v>0</v>
      </c>
      <c r="X20" s="27"/>
      <c r="Y20" s="18">
        <f>IF(AC20=0,J20,0)</f>
        <v>0</v>
      </c>
      <c r="Z20" s="18">
        <f>IF(AC20=15,J20,0)</f>
        <v>0</v>
      </c>
      <c r="AA20" s="18">
        <f>IF(AC20=21,J20,0)</f>
        <v>0</v>
      </c>
      <c r="AC20" s="32">
        <v>15</v>
      </c>
      <c r="AD20" s="32">
        <f>G20*0.0679045092838196</f>
        <v>0</v>
      </c>
      <c r="AE20" s="32">
        <f>G20*(1-0.0679045092838196)</f>
        <v>0</v>
      </c>
      <c r="AF20" s="28" t="s">
        <v>7</v>
      </c>
      <c r="AL20" s="32">
        <f>F20*AD20</f>
        <v>0</v>
      </c>
      <c r="AM20" s="32">
        <f>F20*AE20</f>
        <v>0</v>
      </c>
      <c r="AN20" s="33" t="s">
        <v>242</v>
      </c>
      <c r="AO20" s="33" t="s">
        <v>256</v>
      </c>
      <c r="AP20" s="27" t="s">
        <v>260</v>
      </c>
      <c r="AR20" s="32">
        <f>AL20+AM20</f>
        <v>0</v>
      </c>
      <c r="AS20" s="32">
        <f>G20/(100-AT20)*100</f>
        <v>0</v>
      </c>
      <c r="AT20" s="32">
        <v>0</v>
      </c>
      <c r="AU20" s="32">
        <f>L20</f>
        <v>0.005243736000000001</v>
      </c>
    </row>
    <row r="21" spans="1:47" ht="12.75">
      <c r="A21" s="4" t="s">
        <v>13</v>
      </c>
      <c r="B21" s="4"/>
      <c r="C21" s="4" t="s">
        <v>65</v>
      </c>
      <c r="D21" s="4" t="s">
        <v>133</v>
      </c>
      <c r="E21" s="4" t="s">
        <v>209</v>
      </c>
      <c r="F21" s="18">
        <v>262.18</v>
      </c>
      <c r="G21" s="18">
        <v>0</v>
      </c>
      <c r="H21" s="18">
        <f>F21*AD21</f>
        <v>0</v>
      </c>
      <c r="I21" s="18">
        <f>J21-H21</f>
        <v>0</v>
      </c>
      <c r="J21" s="18">
        <f>F21*G21</f>
        <v>0</v>
      </c>
      <c r="K21" s="18">
        <v>0.08287</v>
      </c>
      <c r="L21" s="18">
        <f>F21*K21</f>
        <v>21.7268566</v>
      </c>
      <c r="O21" s="32">
        <f>IF(AF21="5",J21,0)</f>
        <v>0</v>
      </c>
      <c r="Q21" s="32">
        <f>IF(AF21="1",H21,0)</f>
        <v>0</v>
      </c>
      <c r="R21" s="32">
        <f>IF(AF21="1",I21,0)</f>
        <v>0</v>
      </c>
      <c r="S21" s="32">
        <f>IF(AF21="7",H21,0)</f>
        <v>0</v>
      </c>
      <c r="T21" s="32">
        <f>IF(AF21="7",I21,0)</f>
        <v>0</v>
      </c>
      <c r="U21" s="32">
        <f>IF(AF21="2",H21,0)</f>
        <v>0</v>
      </c>
      <c r="V21" s="32">
        <f>IF(AF21="2",I21,0)</f>
        <v>0</v>
      </c>
      <c r="W21" s="32">
        <f>IF(AF21="0",J21,0)</f>
        <v>0</v>
      </c>
      <c r="X21" s="27"/>
      <c r="Y21" s="18">
        <f>IF(AC21=0,J21,0)</f>
        <v>0</v>
      </c>
      <c r="Z21" s="18">
        <f>IF(AC21=15,J21,0)</f>
        <v>0</v>
      </c>
      <c r="AA21" s="18">
        <f>IF(AC21=21,J21,0)</f>
        <v>0</v>
      </c>
      <c r="AC21" s="32">
        <v>15</v>
      </c>
      <c r="AD21" s="32">
        <f>G21*0.160758620689655</f>
        <v>0</v>
      </c>
      <c r="AE21" s="32">
        <f>G21*(1-0.160758620689655)</f>
        <v>0</v>
      </c>
      <c r="AF21" s="28" t="s">
        <v>7</v>
      </c>
      <c r="AL21" s="32">
        <f>F21*AD21</f>
        <v>0</v>
      </c>
      <c r="AM21" s="32">
        <f>F21*AE21</f>
        <v>0</v>
      </c>
      <c r="AN21" s="33" t="s">
        <v>242</v>
      </c>
      <c r="AO21" s="33" t="s">
        <v>256</v>
      </c>
      <c r="AP21" s="27" t="s">
        <v>260</v>
      </c>
      <c r="AR21" s="32">
        <f>AL21+AM21</f>
        <v>0</v>
      </c>
      <c r="AS21" s="32">
        <f>G21/(100-AT21)*100</f>
        <v>0</v>
      </c>
      <c r="AT21" s="32">
        <v>0</v>
      </c>
      <c r="AU21" s="32">
        <f>L21</f>
        <v>21.7268566</v>
      </c>
    </row>
    <row r="22" ht="12.75">
      <c r="D22" s="15" t="s">
        <v>134</v>
      </c>
    </row>
    <row r="23" spans="1:47" ht="12.75">
      <c r="A23" s="4" t="s">
        <v>14</v>
      </c>
      <c r="B23" s="4"/>
      <c r="C23" s="4" t="s">
        <v>66</v>
      </c>
      <c r="D23" s="4" t="s">
        <v>135</v>
      </c>
      <c r="E23" s="4" t="s">
        <v>209</v>
      </c>
      <c r="F23" s="18">
        <v>262.18</v>
      </c>
      <c r="G23" s="18">
        <v>0</v>
      </c>
      <c r="H23" s="18">
        <f>F23*AD23</f>
        <v>0</v>
      </c>
      <c r="I23" s="18">
        <f>J23-H23</f>
        <v>0</v>
      </c>
      <c r="J23" s="18">
        <f>F23*G23</f>
        <v>0</v>
      </c>
      <c r="K23" s="18">
        <v>0.06425</v>
      </c>
      <c r="L23" s="18">
        <f>F23*K23</f>
        <v>16.845065</v>
      </c>
      <c r="O23" s="32">
        <f>IF(AF23="5",J23,0)</f>
        <v>0</v>
      </c>
      <c r="Q23" s="32">
        <f>IF(AF23="1",H23,0)</f>
        <v>0</v>
      </c>
      <c r="R23" s="32">
        <f>IF(AF23="1",I23,0)</f>
        <v>0</v>
      </c>
      <c r="S23" s="32">
        <f>IF(AF23="7",H23,0)</f>
        <v>0</v>
      </c>
      <c r="T23" s="32">
        <f>IF(AF23="7",I23,0)</f>
        <v>0</v>
      </c>
      <c r="U23" s="32">
        <f>IF(AF23="2",H23,0)</f>
        <v>0</v>
      </c>
      <c r="V23" s="32">
        <f>IF(AF23="2",I23,0)</f>
        <v>0</v>
      </c>
      <c r="W23" s="32">
        <f>IF(AF23="0",J23,0)</f>
        <v>0</v>
      </c>
      <c r="X23" s="27"/>
      <c r="Y23" s="18">
        <f>IF(AC23=0,J23,0)</f>
        <v>0</v>
      </c>
      <c r="Z23" s="18">
        <f>IF(AC23=15,J23,0)</f>
        <v>0</v>
      </c>
      <c r="AA23" s="18">
        <f>IF(AC23=21,J23,0)</f>
        <v>0</v>
      </c>
      <c r="AC23" s="32">
        <v>15</v>
      </c>
      <c r="AD23" s="32">
        <f>G23*0.113588210685416</f>
        <v>0</v>
      </c>
      <c r="AE23" s="32">
        <f>G23*(1-0.113588210685416)</f>
        <v>0</v>
      </c>
      <c r="AF23" s="28" t="s">
        <v>7</v>
      </c>
      <c r="AL23" s="32">
        <f>F23*AD23</f>
        <v>0</v>
      </c>
      <c r="AM23" s="32">
        <f>F23*AE23</f>
        <v>0</v>
      </c>
      <c r="AN23" s="33" t="s">
        <v>242</v>
      </c>
      <c r="AO23" s="33" t="s">
        <v>256</v>
      </c>
      <c r="AP23" s="27" t="s">
        <v>260</v>
      </c>
      <c r="AR23" s="32">
        <f>AL23+AM23</f>
        <v>0</v>
      </c>
      <c r="AS23" s="32">
        <f>G23/(100-AT23)*100</f>
        <v>0</v>
      </c>
      <c r="AT23" s="32">
        <v>0</v>
      </c>
      <c r="AU23" s="32">
        <f>L23</f>
        <v>16.845065</v>
      </c>
    </row>
    <row r="24" ht="51">
      <c r="D24" s="15" t="s">
        <v>136</v>
      </c>
    </row>
    <row r="25" spans="1:47" ht="12.75">
      <c r="A25" s="4" t="s">
        <v>15</v>
      </c>
      <c r="B25" s="4"/>
      <c r="C25" s="4" t="s">
        <v>67</v>
      </c>
      <c r="D25" s="4" t="s">
        <v>137</v>
      </c>
      <c r="E25" s="4" t="s">
        <v>209</v>
      </c>
      <c r="F25" s="18">
        <v>262.18</v>
      </c>
      <c r="G25" s="18">
        <v>0</v>
      </c>
      <c r="H25" s="18">
        <f>F25*AD25</f>
        <v>0</v>
      </c>
      <c r="I25" s="18">
        <f>J25-H25</f>
        <v>0</v>
      </c>
      <c r="J25" s="18">
        <f>F25*G25</f>
        <v>0</v>
      </c>
      <c r="K25" s="18">
        <v>0.08918</v>
      </c>
      <c r="L25" s="18">
        <f>F25*K25</f>
        <v>23.3812124</v>
      </c>
      <c r="O25" s="32">
        <f>IF(AF25="5",J25,0)</f>
        <v>0</v>
      </c>
      <c r="Q25" s="32">
        <f>IF(AF25="1",H25,0)</f>
        <v>0</v>
      </c>
      <c r="R25" s="32">
        <f>IF(AF25="1",I25,0)</f>
        <v>0</v>
      </c>
      <c r="S25" s="32">
        <f>IF(AF25="7",H25,0)</f>
        <v>0</v>
      </c>
      <c r="T25" s="32">
        <f>IF(AF25="7",I25,0)</f>
        <v>0</v>
      </c>
      <c r="U25" s="32">
        <f>IF(AF25="2",H25,0)</f>
        <v>0</v>
      </c>
      <c r="V25" s="32">
        <f>IF(AF25="2",I25,0)</f>
        <v>0</v>
      </c>
      <c r="W25" s="32">
        <f>IF(AF25="0",J25,0)</f>
        <v>0</v>
      </c>
      <c r="X25" s="27"/>
      <c r="Y25" s="18">
        <f>IF(AC25=0,J25,0)</f>
        <v>0</v>
      </c>
      <c r="Z25" s="18">
        <f>IF(AC25=15,J25,0)</f>
        <v>0</v>
      </c>
      <c r="AA25" s="18">
        <f>IF(AC25=21,J25,0)</f>
        <v>0</v>
      </c>
      <c r="AC25" s="32">
        <v>15</v>
      </c>
      <c r="AD25" s="32">
        <f>G25*0.155371828521435</f>
        <v>0</v>
      </c>
      <c r="AE25" s="32">
        <f>G25*(1-0.155371828521435)</f>
        <v>0</v>
      </c>
      <c r="AF25" s="28" t="s">
        <v>7</v>
      </c>
      <c r="AL25" s="32">
        <f>F25*AD25</f>
        <v>0</v>
      </c>
      <c r="AM25" s="32">
        <f>F25*AE25</f>
        <v>0</v>
      </c>
      <c r="AN25" s="33" t="s">
        <v>242</v>
      </c>
      <c r="AO25" s="33" t="s">
        <v>256</v>
      </c>
      <c r="AP25" s="27" t="s">
        <v>260</v>
      </c>
      <c r="AR25" s="32">
        <f>AL25+AM25</f>
        <v>0</v>
      </c>
      <c r="AS25" s="32">
        <f>G25/(100-AT25)*100</f>
        <v>0</v>
      </c>
      <c r="AT25" s="32">
        <v>0</v>
      </c>
      <c r="AU25" s="32">
        <f>L25</f>
        <v>23.3812124</v>
      </c>
    </row>
    <row r="26" ht="12.75">
      <c r="D26" s="15" t="s">
        <v>134</v>
      </c>
    </row>
    <row r="27" spans="1:47" ht="12.75">
      <c r="A27" s="4" t="s">
        <v>16</v>
      </c>
      <c r="B27" s="4"/>
      <c r="C27" s="4" t="s">
        <v>68</v>
      </c>
      <c r="D27" s="4" t="s">
        <v>138</v>
      </c>
      <c r="E27" s="4" t="s">
        <v>209</v>
      </c>
      <c r="F27" s="18">
        <v>22.62</v>
      </c>
      <c r="G27" s="18">
        <v>0</v>
      </c>
      <c r="H27" s="18">
        <f>F27*AD27</f>
        <v>0</v>
      </c>
      <c r="I27" s="18">
        <f>J27-H27</f>
        <v>0</v>
      </c>
      <c r="J27" s="18">
        <f>F27*G27</f>
        <v>0</v>
      </c>
      <c r="K27" s="18">
        <v>0.04817</v>
      </c>
      <c r="L27" s="18">
        <f>F27*K27</f>
        <v>1.0896054</v>
      </c>
      <c r="O27" s="32">
        <f>IF(AF27="5",J27,0)</f>
        <v>0</v>
      </c>
      <c r="Q27" s="32">
        <f>IF(AF27="1",H27,0)</f>
        <v>0</v>
      </c>
      <c r="R27" s="32">
        <f>IF(AF27="1",I27,0)</f>
        <v>0</v>
      </c>
      <c r="S27" s="32">
        <f>IF(AF27="7",H27,0)</f>
        <v>0</v>
      </c>
      <c r="T27" s="32">
        <f>IF(AF27="7",I27,0)</f>
        <v>0</v>
      </c>
      <c r="U27" s="32">
        <f>IF(AF27="2",H27,0)</f>
        <v>0</v>
      </c>
      <c r="V27" s="32">
        <f>IF(AF27="2",I27,0)</f>
        <v>0</v>
      </c>
      <c r="W27" s="32">
        <f>IF(AF27="0",J27,0)</f>
        <v>0</v>
      </c>
      <c r="X27" s="27"/>
      <c r="Y27" s="18">
        <f>IF(AC27=0,J27,0)</f>
        <v>0</v>
      </c>
      <c r="Z27" s="18">
        <f>IF(AC27=15,J27,0)</f>
        <v>0</v>
      </c>
      <c r="AA27" s="18">
        <f>IF(AC27=21,J27,0)</f>
        <v>0</v>
      </c>
      <c r="AC27" s="32">
        <v>15</v>
      </c>
      <c r="AD27" s="32">
        <f>G27*0.146033907095854</f>
        <v>0</v>
      </c>
      <c r="AE27" s="32">
        <f>G27*(1-0.146033907095854)</f>
        <v>0</v>
      </c>
      <c r="AF27" s="28" t="s">
        <v>7</v>
      </c>
      <c r="AL27" s="32">
        <f>F27*AD27</f>
        <v>0</v>
      </c>
      <c r="AM27" s="32">
        <f>F27*AE27</f>
        <v>0</v>
      </c>
      <c r="AN27" s="33" t="s">
        <v>242</v>
      </c>
      <c r="AO27" s="33" t="s">
        <v>256</v>
      </c>
      <c r="AP27" s="27" t="s">
        <v>260</v>
      </c>
      <c r="AR27" s="32">
        <f>AL27+AM27</f>
        <v>0</v>
      </c>
      <c r="AS27" s="32">
        <f>G27/(100-AT27)*100</f>
        <v>0</v>
      </c>
      <c r="AT27" s="32">
        <v>0</v>
      </c>
      <c r="AU27" s="32">
        <f>L27</f>
        <v>1.0896054</v>
      </c>
    </row>
    <row r="28" spans="1:47" ht="12.75">
      <c r="A28" s="4" t="s">
        <v>17</v>
      </c>
      <c r="B28" s="4"/>
      <c r="C28" s="4" t="s">
        <v>69</v>
      </c>
      <c r="D28" s="4" t="s">
        <v>139</v>
      </c>
      <c r="E28" s="4" t="s">
        <v>209</v>
      </c>
      <c r="F28" s="18">
        <v>43.38</v>
      </c>
      <c r="G28" s="18">
        <v>0</v>
      </c>
      <c r="H28" s="18">
        <f>F28*AD28</f>
        <v>0</v>
      </c>
      <c r="I28" s="18">
        <f>J28-H28</f>
        <v>0</v>
      </c>
      <c r="J28" s="18">
        <f>F28*G28</f>
        <v>0</v>
      </c>
      <c r="K28" s="18">
        <v>4E-05</v>
      </c>
      <c r="L28" s="18">
        <f>F28*K28</f>
        <v>0.0017352000000000003</v>
      </c>
      <c r="O28" s="32">
        <f>IF(AF28="5",J28,0)</f>
        <v>0</v>
      </c>
      <c r="Q28" s="32">
        <f>IF(AF28="1",H28,0)</f>
        <v>0</v>
      </c>
      <c r="R28" s="32">
        <f>IF(AF28="1",I28,0)</f>
        <v>0</v>
      </c>
      <c r="S28" s="32">
        <f>IF(AF28="7",H28,0)</f>
        <v>0</v>
      </c>
      <c r="T28" s="32">
        <f>IF(AF28="7",I28,0)</f>
        <v>0</v>
      </c>
      <c r="U28" s="32">
        <f>IF(AF28="2",H28,0)</f>
        <v>0</v>
      </c>
      <c r="V28" s="32">
        <f>IF(AF28="2",I28,0)</f>
        <v>0</v>
      </c>
      <c r="W28" s="32">
        <f>IF(AF28="0",J28,0)</f>
        <v>0</v>
      </c>
      <c r="X28" s="27"/>
      <c r="Y28" s="18">
        <f>IF(AC28=0,J28,0)</f>
        <v>0</v>
      </c>
      <c r="Z28" s="18">
        <f>IF(AC28=15,J28,0)</f>
        <v>0</v>
      </c>
      <c r="AA28" s="18">
        <f>IF(AC28=21,J28,0)</f>
        <v>0</v>
      </c>
      <c r="AC28" s="32">
        <v>15</v>
      </c>
      <c r="AD28" s="32">
        <f>G28*0.34750656167979</f>
        <v>0</v>
      </c>
      <c r="AE28" s="32">
        <f>G28*(1-0.34750656167979)</f>
        <v>0</v>
      </c>
      <c r="AF28" s="28" t="s">
        <v>7</v>
      </c>
      <c r="AL28" s="32">
        <f>F28*AD28</f>
        <v>0</v>
      </c>
      <c r="AM28" s="32">
        <f>F28*AE28</f>
        <v>0</v>
      </c>
      <c r="AN28" s="33" t="s">
        <v>242</v>
      </c>
      <c r="AO28" s="33" t="s">
        <v>256</v>
      </c>
      <c r="AP28" s="27" t="s">
        <v>260</v>
      </c>
      <c r="AR28" s="32">
        <f>AL28+AM28</f>
        <v>0</v>
      </c>
      <c r="AS28" s="32">
        <f>G28/(100-AT28)*100</f>
        <v>0</v>
      </c>
      <c r="AT28" s="32">
        <v>0</v>
      </c>
      <c r="AU28" s="32">
        <f>L28</f>
        <v>0.0017352000000000003</v>
      </c>
    </row>
    <row r="29" spans="1:47" ht="12.75">
      <c r="A29" s="4" t="s">
        <v>18</v>
      </c>
      <c r="B29" s="4"/>
      <c r="C29" s="4" t="s">
        <v>70</v>
      </c>
      <c r="D29" s="4" t="s">
        <v>140</v>
      </c>
      <c r="E29" s="4" t="s">
        <v>209</v>
      </c>
      <c r="F29" s="18">
        <v>22.62</v>
      </c>
      <c r="G29" s="18">
        <v>0</v>
      </c>
      <c r="H29" s="18">
        <f>F29*AD29</f>
        <v>0</v>
      </c>
      <c r="I29" s="18">
        <f>J29-H29</f>
        <v>0</v>
      </c>
      <c r="J29" s="18">
        <f>F29*G29</f>
        <v>0</v>
      </c>
      <c r="K29" s="18">
        <v>0.00076</v>
      </c>
      <c r="L29" s="18">
        <f>F29*K29</f>
        <v>0.0171912</v>
      </c>
      <c r="O29" s="32">
        <f>IF(AF29="5",J29,0)</f>
        <v>0</v>
      </c>
      <c r="Q29" s="32">
        <f>IF(AF29="1",H29,0)</f>
        <v>0</v>
      </c>
      <c r="R29" s="32">
        <f>IF(AF29="1",I29,0)</f>
        <v>0</v>
      </c>
      <c r="S29" s="32">
        <f>IF(AF29="7",H29,0)</f>
        <v>0</v>
      </c>
      <c r="T29" s="32">
        <f>IF(AF29="7",I29,0)</f>
        <v>0</v>
      </c>
      <c r="U29" s="32">
        <f>IF(AF29="2",H29,0)</f>
        <v>0</v>
      </c>
      <c r="V29" s="32">
        <f>IF(AF29="2",I29,0)</f>
        <v>0</v>
      </c>
      <c r="W29" s="32">
        <f>IF(AF29="0",J29,0)</f>
        <v>0</v>
      </c>
      <c r="X29" s="27"/>
      <c r="Y29" s="18">
        <f>IF(AC29=0,J29,0)</f>
        <v>0</v>
      </c>
      <c r="Z29" s="18">
        <f>IF(AC29=15,J29,0)</f>
        <v>0</v>
      </c>
      <c r="AA29" s="18">
        <f>IF(AC29=21,J29,0)</f>
        <v>0</v>
      </c>
      <c r="AC29" s="32">
        <v>15</v>
      </c>
      <c r="AD29" s="32">
        <f>G29*0.491878463596407</f>
        <v>0</v>
      </c>
      <c r="AE29" s="32">
        <f>G29*(1-0.491878463596407)</f>
        <v>0</v>
      </c>
      <c r="AF29" s="28" t="s">
        <v>7</v>
      </c>
      <c r="AL29" s="32">
        <f>F29*AD29</f>
        <v>0</v>
      </c>
      <c r="AM29" s="32">
        <f>F29*AE29</f>
        <v>0</v>
      </c>
      <c r="AN29" s="33" t="s">
        <v>242</v>
      </c>
      <c r="AO29" s="33" t="s">
        <v>256</v>
      </c>
      <c r="AP29" s="27" t="s">
        <v>260</v>
      </c>
      <c r="AR29" s="32">
        <f>AL29+AM29</f>
        <v>0</v>
      </c>
      <c r="AS29" s="32">
        <f>G29/(100-AT29)*100</f>
        <v>0</v>
      </c>
      <c r="AT29" s="32">
        <v>0</v>
      </c>
      <c r="AU29" s="32">
        <f>L29</f>
        <v>0.0171912</v>
      </c>
    </row>
    <row r="30" ht="12.75">
      <c r="D30" s="15" t="s">
        <v>141</v>
      </c>
    </row>
    <row r="31" spans="1:47" ht="12.75">
      <c r="A31" s="4" t="s">
        <v>19</v>
      </c>
      <c r="B31" s="4"/>
      <c r="C31" s="4" t="s">
        <v>71</v>
      </c>
      <c r="D31" s="4" t="s">
        <v>142</v>
      </c>
      <c r="E31" s="4" t="s">
        <v>210</v>
      </c>
      <c r="F31" s="18">
        <v>25</v>
      </c>
      <c r="G31" s="18">
        <v>0</v>
      </c>
      <c r="H31" s="18">
        <f>F31*AD31</f>
        <v>0</v>
      </c>
      <c r="I31" s="18">
        <f>J31-H31</f>
        <v>0</v>
      </c>
      <c r="J31" s="18">
        <f>F31*G31</f>
        <v>0</v>
      </c>
      <c r="K31" s="18">
        <v>0.00133</v>
      </c>
      <c r="L31" s="18">
        <f>F31*K31</f>
        <v>0.03325</v>
      </c>
      <c r="O31" s="32">
        <f>IF(AF31="5",J31,0)</f>
        <v>0</v>
      </c>
      <c r="Q31" s="32">
        <f>IF(AF31="1",H31,0)</f>
        <v>0</v>
      </c>
      <c r="R31" s="32">
        <f>IF(AF31="1",I31,0)</f>
        <v>0</v>
      </c>
      <c r="S31" s="32">
        <f>IF(AF31="7",H31,0)</f>
        <v>0</v>
      </c>
      <c r="T31" s="32">
        <f>IF(AF31="7",I31,0)</f>
        <v>0</v>
      </c>
      <c r="U31" s="32">
        <f>IF(AF31="2",H31,0)</f>
        <v>0</v>
      </c>
      <c r="V31" s="32">
        <f>IF(AF31="2",I31,0)</f>
        <v>0</v>
      </c>
      <c r="W31" s="32">
        <f>IF(AF31="0",J31,0)</f>
        <v>0</v>
      </c>
      <c r="X31" s="27"/>
      <c r="Y31" s="18">
        <f>IF(AC31=0,J31,0)</f>
        <v>0</v>
      </c>
      <c r="Z31" s="18">
        <f>IF(AC31=15,J31,0)</f>
        <v>0</v>
      </c>
      <c r="AA31" s="18">
        <f>IF(AC31=21,J31,0)</f>
        <v>0</v>
      </c>
      <c r="AC31" s="32">
        <v>15</v>
      </c>
      <c r="AD31" s="32">
        <f>G31*0.861142845273456</f>
        <v>0</v>
      </c>
      <c r="AE31" s="32">
        <f>G31*(1-0.861142845273456)</f>
        <v>0</v>
      </c>
      <c r="AF31" s="28" t="s">
        <v>7</v>
      </c>
      <c r="AL31" s="32">
        <f>F31*AD31</f>
        <v>0</v>
      </c>
      <c r="AM31" s="32">
        <f>F31*AE31</f>
        <v>0</v>
      </c>
      <c r="AN31" s="33" t="s">
        <v>242</v>
      </c>
      <c r="AO31" s="33" t="s">
        <v>256</v>
      </c>
      <c r="AP31" s="27" t="s">
        <v>260</v>
      </c>
      <c r="AR31" s="32">
        <f>AL31+AM31</f>
        <v>0</v>
      </c>
      <c r="AS31" s="32">
        <f>G31/(100-AT31)*100</f>
        <v>0</v>
      </c>
      <c r="AT31" s="32">
        <v>0</v>
      </c>
      <c r="AU31" s="32">
        <f>L31</f>
        <v>0.03325</v>
      </c>
    </row>
    <row r="32" ht="51">
      <c r="D32" s="15" t="s">
        <v>143</v>
      </c>
    </row>
    <row r="33" spans="1:47" ht="12.75">
      <c r="A33" s="4" t="s">
        <v>20</v>
      </c>
      <c r="B33" s="4"/>
      <c r="C33" s="4" t="s">
        <v>72</v>
      </c>
      <c r="D33" s="4" t="s">
        <v>144</v>
      </c>
      <c r="E33" s="4" t="s">
        <v>209</v>
      </c>
      <c r="F33" s="18">
        <v>2.16</v>
      </c>
      <c r="G33" s="18">
        <v>0</v>
      </c>
      <c r="H33" s="18">
        <f>F33*AD33</f>
        <v>0</v>
      </c>
      <c r="I33" s="18">
        <f>J33-H33</f>
        <v>0</v>
      </c>
      <c r="J33" s="18">
        <f>F33*G33</f>
        <v>0</v>
      </c>
      <c r="K33" s="18">
        <v>0.07455</v>
      </c>
      <c r="L33" s="18">
        <f>F33*K33</f>
        <v>0.16102800000000003</v>
      </c>
      <c r="O33" s="32">
        <f>IF(AF33="5",J33,0)</f>
        <v>0</v>
      </c>
      <c r="Q33" s="32">
        <f>IF(AF33="1",H33,0)</f>
        <v>0</v>
      </c>
      <c r="R33" s="32">
        <f>IF(AF33="1",I33,0)</f>
        <v>0</v>
      </c>
      <c r="S33" s="32">
        <f>IF(AF33="7",H33,0)</f>
        <v>0</v>
      </c>
      <c r="T33" s="32">
        <f>IF(AF33="7",I33,0)</f>
        <v>0</v>
      </c>
      <c r="U33" s="32">
        <f>IF(AF33="2",H33,0)</f>
        <v>0</v>
      </c>
      <c r="V33" s="32">
        <f>IF(AF33="2",I33,0)</f>
        <v>0</v>
      </c>
      <c r="W33" s="32">
        <f>IF(AF33="0",J33,0)</f>
        <v>0</v>
      </c>
      <c r="X33" s="27"/>
      <c r="Y33" s="18">
        <f>IF(AC33=0,J33,0)</f>
        <v>0</v>
      </c>
      <c r="Z33" s="18">
        <f>IF(AC33=15,J33,0)</f>
        <v>0</v>
      </c>
      <c r="AA33" s="18">
        <f>IF(AC33=21,J33,0)</f>
        <v>0</v>
      </c>
      <c r="AC33" s="32">
        <v>15</v>
      </c>
      <c r="AD33" s="32">
        <f>G33*0.638932655654384</f>
        <v>0</v>
      </c>
      <c r="AE33" s="32">
        <f>G33*(1-0.638932655654384)</f>
        <v>0</v>
      </c>
      <c r="AF33" s="28" t="s">
        <v>7</v>
      </c>
      <c r="AL33" s="32">
        <f>F33*AD33</f>
        <v>0</v>
      </c>
      <c r="AM33" s="32">
        <f>F33*AE33</f>
        <v>0</v>
      </c>
      <c r="AN33" s="33" t="s">
        <v>242</v>
      </c>
      <c r="AO33" s="33" t="s">
        <v>256</v>
      </c>
      <c r="AP33" s="27" t="s">
        <v>260</v>
      </c>
      <c r="AR33" s="32">
        <f>AL33+AM33</f>
        <v>0</v>
      </c>
      <c r="AS33" s="32">
        <f>G33/(100-AT33)*100</f>
        <v>0</v>
      </c>
      <c r="AT33" s="32">
        <v>0</v>
      </c>
      <c r="AU33" s="32">
        <f>L33</f>
        <v>0.16102800000000003</v>
      </c>
    </row>
    <row r="34" ht="12.75">
      <c r="D34" s="15" t="s">
        <v>145</v>
      </c>
    </row>
    <row r="35" spans="1:47" ht="12.75">
      <c r="A35" s="4" t="s">
        <v>21</v>
      </c>
      <c r="B35" s="4"/>
      <c r="C35" s="4" t="s">
        <v>73</v>
      </c>
      <c r="D35" s="4" t="s">
        <v>146</v>
      </c>
      <c r="E35" s="4" t="s">
        <v>209</v>
      </c>
      <c r="F35" s="18">
        <v>23.335</v>
      </c>
      <c r="G35" s="18">
        <v>0</v>
      </c>
      <c r="H35" s="18">
        <f>F35*AD35</f>
        <v>0</v>
      </c>
      <c r="I35" s="18">
        <f>J35-H35</f>
        <v>0</v>
      </c>
      <c r="J35" s="18">
        <f>F35*G35</f>
        <v>0</v>
      </c>
      <c r="K35" s="18">
        <v>0.07426</v>
      </c>
      <c r="L35" s="18">
        <f>F35*K35</f>
        <v>1.7328571000000002</v>
      </c>
      <c r="O35" s="32">
        <f>IF(AF35="5",J35,0)</f>
        <v>0</v>
      </c>
      <c r="Q35" s="32">
        <f>IF(AF35="1",H35,0)</f>
        <v>0</v>
      </c>
      <c r="R35" s="32">
        <f>IF(AF35="1",I35,0)</f>
        <v>0</v>
      </c>
      <c r="S35" s="32">
        <f>IF(AF35="7",H35,0)</f>
        <v>0</v>
      </c>
      <c r="T35" s="32">
        <f>IF(AF35="7",I35,0)</f>
        <v>0</v>
      </c>
      <c r="U35" s="32">
        <f>IF(AF35="2",H35,0)</f>
        <v>0</v>
      </c>
      <c r="V35" s="32">
        <f>IF(AF35="2",I35,0)</f>
        <v>0</v>
      </c>
      <c r="W35" s="32">
        <f>IF(AF35="0",J35,0)</f>
        <v>0</v>
      </c>
      <c r="X35" s="27"/>
      <c r="Y35" s="18">
        <f>IF(AC35=0,J35,0)</f>
        <v>0</v>
      </c>
      <c r="Z35" s="18">
        <f>IF(AC35=15,J35,0)</f>
        <v>0</v>
      </c>
      <c r="AA35" s="18">
        <f>IF(AC35=21,J35,0)</f>
        <v>0</v>
      </c>
      <c r="AC35" s="32">
        <v>15</v>
      </c>
      <c r="AD35" s="32">
        <f>G35*0.402986425339367</f>
        <v>0</v>
      </c>
      <c r="AE35" s="32">
        <f>G35*(1-0.402986425339367)</f>
        <v>0</v>
      </c>
      <c r="AF35" s="28" t="s">
        <v>7</v>
      </c>
      <c r="AL35" s="32">
        <f>F35*AD35</f>
        <v>0</v>
      </c>
      <c r="AM35" s="32">
        <f>F35*AE35</f>
        <v>0</v>
      </c>
      <c r="AN35" s="33" t="s">
        <v>242</v>
      </c>
      <c r="AO35" s="33" t="s">
        <v>256</v>
      </c>
      <c r="AP35" s="27" t="s">
        <v>260</v>
      </c>
      <c r="AR35" s="32">
        <f>AL35+AM35</f>
        <v>0</v>
      </c>
      <c r="AS35" s="32">
        <f>G35/(100-AT35)*100</f>
        <v>0</v>
      </c>
      <c r="AT35" s="32">
        <v>0</v>
      </c>
      <c r="AU35" s="32">
        <f>L35</f>
        <v>1.7328571000000002</v>
      </c>
    </row>
    <row r="36" ht="38.25">
      <c r="D36" s="15" t="s">
        <v>147</v>
      </c>
    </row>
    <row r="37" spans="1:36" ht="12.75">
      <c r="A37" s="6"/>
      <c r="B37" s="13"/>
      <c r="C37" s="13" t="s">
        <v>74</v>
      </c>
      <c r="D37" s="116" t="s">
        <v>148</v>
      </c>
      <c r="E37" s="117"/>
      <c r="F37" s="117"/>
      <c r="G37" s="117"/>
      <c r="H37" s="35">
        <f>SUM(H38:H50)</f>
        <v>0</v>
      </c>
      <c r="I37" s="35">
        <f>SUM(I38:I50)</f>
        <v>0</v>
      </c>
      <c r="J37" s="35">
        <f>H37+I37</f>
        <v>0</v>
      </c>
      <c r="K37" s="27"/>
      <c r="L37" s="35">
        <f>SUM(L38:L50)</f>
        <v>0.630584</v>
      </c>
      <c r="X37" s="27"/>
      <c r="AH37" s="35">
        <f>SUM(Y38:Y50)</f>
        <v>0</v>
      </c>
      <c r="AI37" s="35">
        <f>SUM(Z38:Z50)</f>
        <v>0</v>
      </c>
      <c r="AJ37" s="35">
        <f>SUM(AA38:AA50)</f>
        <v>0</v>
      </c>
    </row>
    <row r="38" spans="1:47" ht="12.75">
      <c r="A38" s="4" t="s">
        <v>22</v>
      </c>
      <c r="B38" s="4"/>
      <c r="C38" s="4" t="s">
        <v>75</v>
      </c>
      <c r="D38" s="4" t="s">
        <v>149</v>
      </c>
      <c r="E38" s="4" t="s">
        <v>210</v>
      </c>
      <c r="F38" s="18">
        <v>7.3</v>
      </c>
      <c r="G38" s="18">
        <v>0</v>
      </c>
      <c r="H38" s="18">
        <f>F38*AD38</f>
        <v>0</v>
      </c>
      <c r="I38" s="18">
        <f>J38-H38</f>
        <v>0</v>
      </c>
      <c r="J38" s="18">
        <f>F38*G38</f>
        <v>0</v>
      </c>
      <c r="K38" s="18">
        <v>0.00337</v>
      </c>
      <c r="L38" s="18">
        <f>F38*K38</f>
        <v>0.024601</v>
      </c>
      <c r="O38" s="32">
        <f>IF(AF38="5",J38,0)</f>
        <v>0</v>
      </c>
      <c r="Q38" s="32">
        <f>IF(AF38="1",H38,0)</f>
        <v>0</v>
      </c>
      <c r="R38" s="32">
        <f>IF(AF38="1",I38,0)</f>
        <v>0</v>
      </c>
      <c r="S38" s="32">
        <f>IF(AF38="7",H38,0)</f>
        <v>0</v>
      </c>
      <c r="T38" s="32">
        <f>IF(AF38="7",I38,0)</f>
        <v>0</v>
      </c>
      <c r="U38" s="32">
        <f>IF(AF38="2",H38,0)</f>
        <v>0</v>
      </c>
      <c r="V38" s="32">
        <f>IF(AF38="2",I38,0)</f>
        <v>0</v>
      </c>
      <c r="W38" s="32">
        <f>IF(AF38="0",J38,0)</f>
        <v>0</v>
      </c>
      <c r="X38" s="27"/>
      <c r="Y38" s="18">
        <f>IF(AC38=0,J38,0)</f>
        <v>0</v>
      </c>
      <c r="Z38" s="18">
        <f>IF(AC38=15,J38,0)</f>
        <v>0</v>
      </c>
      <c r="AA38" s="18">
        <f>IF(AC38=21,J38,0)</f>
        <v>0</v>
      </c>
      <c r="AC38" s="32">
        <v>15</v>
      </c>
      <c r="AD38" s="32">
        <f>G38*0</f>
        <v>0</v>
      </c>
      <c r="AE38" s="32">
        <f>G38*(1-0)</f>
        <v>0</v>
      </c>
      <c r="AF38" s="28" t="s">
        <v>13</v>
      </c>
      <c r="AL38" s="32">
        <f>F38*AD38</f>
        <v>0</v>
      </c>
      <c r="AM38" s="32">
        <f>F38*AE38</f>
        <v>0</v>
      </c>
      <c r="AN38" s="33" t="s">
        <v>243</v>
      </c>
      <c r="AO38" s="33" t="s">
        <v>257</v>
      </c>
      <c r="AP38" s="27" t="s">
        <v>260</v>
      </c>
      <c r="AR38" s="32">
        <f>AL38+AM38</f>
        <v>0</v>
      </c>
      <c r="AS38" s="32">
        <f>G38/(100-AT38)*100</f>
        <v>0</v>
      </c>
      <c r="AT38" s="32">
        <v>0</v>
      </c>
      <c r="AU38" s="32">
        <f>L38</f>
        <v>0.024601</v>
      </c>
    </row>
    <row r="39" spans="1:47" ht="12.75">
      <c r="A39" s="4" t="s">
        <v>23</v>
      </c>
      <c r="B39" s="4"/>
      <c r="C39" s="4" t="s">
        <v>76</v>
      </c>
      <c r="D39" s="4" t="s">
        <v>150</v>
      </c>
      <c r="E39" s="4" t="s">
        <v>210</v>
      </c>
      <c r="F39" s="18">
        <v>16.2</v>
      </c>
      <c r="G39" s="18">
        <v>0</v>
      </c>
      <c r="H39" s="18">
        <f>F39*AD39</f>
        <v>0</v>
      </c>
      <c r="I39" s="18">
        <f>J39-H39</f>
        <v>0</v>
      </c>
      <c r="J39" s="18">
        <f>F39*G39</f>
        <v>0</v>
      </c>
      <c r="K39" s="18">
        <v>0.00445</v>
      </c>
      <c r="L39" s="18">
        <f>F39*K39</f>
        <v>0.07209</v>
      </c>
      <c r="O39" s="32">
        <f>IF(AF39="5",J39,0)</f>
        <v>0</v>
      </c>
      <c r="Q39" s="32">
        <f>IF(AF39="1",H39,0)</f>
        <v>0</v>
      </c>
      <c r="R39" s="32">
        <f>IF(AF39="1",I39,0)</f>
        <v>0</v>
      </c>
      <c r="S39" s="32">
        <f>IF(AF39="7",H39,0)</f>
        <v>0</v>
      </c>
      <c r="T39" s="32">
        <f>IF(AF39="7",I39,0)</f>
        <v>0</v>
      </c>
      <c r="U39" s="32">
        <f>IF(AF39="2",H39,0)</f>
        <v>0</v>
      </c>
      <c r="V39" s="32">
        <f>IF(AF39="2",I39,0)</f>
        <v>0</v>
      </c>
      <c r="W39" s="32">
        <f>IF(AF39="0",J39,0)</f>
        <v>0</v>
      </c>
      <c r="X39" s="27"/>
      <c r="Y39" s="18">
        <f>IF(AC39=0,J39,0)</f>
        <v>0</v>
      </c>
      <c r="Z39" s="18">
        <f>IF(AC39=15,J39,0)</f>
        <v>0</v>
      </c>
      <c r="AA39" s="18">
        <f>IF(AC39=21,J39,0)</f>
        <v>0</v>
      </c>
      <c r="AC39" s="32">
        <v>15</v>
      </c>
      <c r="AD39" s="32">
        <f>G39*0</f>
        <v>0</v>
      </c>
      <c r="AE39" s="32">
        <f>G39*(1-0)</f>
        <v>0</v>
      </c>
      <c r="AF39" s="28" t="s">
        <v>13</v>
      </c>
      <c r="AL39" s="32">
        <f>F39*AD39</f>
        <v>0</v>
      </c>
      <c r="AM39" s="32">
        <f>F39*AE39</f>
        <v>0</v>
      </c>
      <c r="AN39" s="33" t="s">
        <v>243</v>
      </c>
      <c r="AO39" s="33" t="s">
        <v>257</v>
      </c>
      <c r="AP39" s="27" t="s">
        <v>260</v>
      </c>
      <c r="AR39" s="32">
        <f>AL39+AM39</f>
        <v>0</v>
      </c>
      <c r="AS39" s="32">
        <f>G39/(100-AT39)*100</f>
        <v>0</v>
      </c>
      <c r="AT39" s="32">
        <v>0</v>
      </c>
      <c r="AU39" s="32">
        <f>L39</f>
        <v>0.07209</v>
      </c>
    </row>
    <row r="40" spans="1:47" ht="12.75">
      <c r="A40" s="4" t="s">
        <v>24</v>
      </c>
      <c r="B40" s="4"/>
      <c r="C40" s="4" t="s">
        <v>77</v>
      </c>
      <c r="D40" s="4" t="s">
        <v>151</v>
      </c>
      <c r="E40" s="4" t="s">
        <v>210</v>
      </c>
      <c r="F40" s="18">
        <v>22</v>
      </c>
      <c r="G40" s="18">
        <v>0</v>
      </c>
      <c r="H40" s="18">
        <f>F40*AD40</f>
        <v>0</v>
      </c>
      <c r="I40" s="18">
        <f>J40-H40</f>
        <v>0</v>
      </c>
      <c r="J40" s="18">
        <f>F40*G40</f>
        <v>0</v>
      </c>
      <c r="K40" s="18">
        <v>0.00336</v>
      </c>
      <c r="L40" s="18">
        <f>F40*K40</f>
        <v>0.07392</v>
      </c>
      <c r="O40" s="32">
        <f>IF(AF40="5",J40,0)</f>
        <v>0</v>
      </c>
      <c r="Q40" s="32">
        <f>IF(AF40="1",H40,0)</f>
        <v>0</v>
      </c>
      <c r="R40" s="32">
        <f>IF(AF40="1",I40,0)</f>
        <v>0</v>
      </c>
      <c r="S40" s="32">
        <f>IF(AF40="7",H40,0)</f>
        <v>0</v>
      </c>
      <c r="T40" s="32">
        <f>IF(AF40="7",I40,0)</f>
        <v>0</v>
      </c>
      <c r="U40" s="32">
        <f>IF(AF40="2",H40,0)</f>
        <v>0</v>
      </c>
      <c r="V40" s="32">
        <f>IF(AF40="2",I40,0)</f>
        <v>0</v>
      </c>
      <c r="W40" s="32">
        <f>IF(AF40="0",J40,0)</f>
        <v>0</v>
      </c>
      <c r="X40" s="27"/>
      <c r="Y40" s="18">
        <f>IF(AC40=0,J40,0)</f>
        <v>0</v>
      </c>
      <c r="Z40" s="18">
        <f>IF(AC40=15,J40,0)</f>
        <v>0</v>
      </c>
      <c r="AA40" s="18">
        <f>IF(AC40=21,J40,0)</f>
        <v>0</v>
      </c>
      <c r="AC40" s="32">
        <v>15</v>
      </c>
      <c r="AD40" s="32">
        <f>G40*0</f>
        <v>0</v>
      </c>
      <c r="AE40" s="32">
        <f>G40*(1-0)</f>
        <v>0</v>
      </c>
      <c r="AF40" s="28" t="s">
        <v>13</v>
      </c>
      <c r="AL40" s="32">
        <f>F40*AD40</f>
        <v>0</v>
      </c>
      <c r="AM40" s="32">
        <f>F40*AE40</f>
        <v>0</v>
      </c>
      <c r="AN40" s="33" t="s">
        <v>243</v>
      </c>
      <c r="AO40" s="33" t="s">
        <v>257</v>
      </c>
      <c r="AP40" s="27" t="s">
        <v>260</v>
      </c>
      <c r="AR40" s="32">
        <f>AL40+AM40</f>
        <v>0</v>
      </c>
      <c r="AS40" s="32">
        <f>G40/(100-AT40)*100</f>
        <v>0</v>
      </c>
      <c r="AT40" s="32">
        <v>0</v>
      </c>
      <c r="AU40" s="32">
        <f>L40</f>
        <v>0.07392</v>
      </c>
    </row>
    <row r="41" ht="12.75">
      <c r="D41" s="15" t="s">
        <v>152</v>
      </c>
    </row>
    <row r="42" spans="1:47" ht="12.75">
      <c r="A42" s="4" t="s">
        <v>25</v>
      </c>
      <c r="B42" s="4"/>
      <c r="C42" s="4" t="s">
        <v>78</v>
      </c>
      <c r="D42" s="4" t="s">
        <v>153</v>
      </c>
      <c r="E42" s="4" t="s">
        <v>210</v>
      </c>
      <c r="F42" s="18">
        <v>21.3</v>
      </c>
      <c r="G42" s="18">
        <v>0</v>
      </c>
      <c r="H42" s="18">
        <f>F42*AD42</f>
        <v>0</v>
      </c>
      <c r="I42" s="18">
        <f>J42-H42</f>
        <v>0</v>
      </c>
      <c r="J42" s="18">
        <f>F42*G42</f>
        <v>0</v>
      </c>
      <c r="K42" s="18">
        <v>0.00742</v>
      </c>
      <c r="L42" s="18">
        <f>F42*K42</f>
        <v>0.15804600000000002</v>
      </c>
      <c r="O42" s="32">
        <f>IF(AF42="5",J42,0)</f>
        <v>0</v>
      </c>
      <c r="Q42" s="32">
        <f>IF(AF42="1",H42,0)</f>
        <v>0</v>
      </c>
      <c r="R42" s="32">
        <f>IF(AF42="1",I42,0)</f>
        <v>0</v>
      </c>
      <c r="S42" s="32">
        <f>IF(AF42="7",H42,0)</f>
        <v>0</v>
      </c>
      <c r="T42" s="32">
        <f>IF(AF42="7",I42,0)</f>
        <v>0</v>
      </c>
      <c r="U42" s="32">
        <f>IF(AF42="2",H42,0)</f>
        <v>0</v>
      </c>
      <c r="V42" s="32">
        <f>IF(AF42="2",I42,0)</f>
        <v>0</v>
      </c>
      <c r="W42" s="32">
        <f>IF(AF42="0",J42,0)</f>
        <v>0</v>
      </c>
      <c r="X42" s="27"/>
      <c r="Y42" s="18">
        <f>IF(AC42=0,J42,0)</f>
        <v>0</v>
      </c>
      <c r="Z42" s="18">
        <f>IF(AC42=15,J42,0)</f>
        <v>0</v>
      </c>
      <c r="AA42" s="18">
        <f>IF(AC42=21,J42,0)</f>
        <v>0</v>
      </c>
      <c r="AC42" s="32">
        <v>15</v>
      </c>
      <c r="AD42" s="32">
        <f>G42*0</f>
        <v>0</v>
      </c>
      <c r="AE42" s="32">
        <f>G42*(1-0)</f>
        <v>0</v>
      </c>
      <c r="AF42" s="28" t="s">
        <v>13</v>
      </c>
      <c r="AL42" s="32">
        <f>F42*AD42</f>
        <v>0</v>
      </c>
      <c r="AM42" s="32">
        <f>F42*AE42</f>
        <v>0</v>
      </c>
      <c r="AN42" s="33" t="s">
        <v>243</v>
      </c>
      <c r="AO42" s="33" t="s">
        <v>257</v>
      </c>
      <c r="AP42" s="27" t="s">
        <v>260</v>
      </c>
      <c r="AR42" s="32">
        <f>AL42+AM42</f>
        <v>0</v>
      </c>
      <c r="AS42" s="32">
        <f>G42/(100-AT42)*100</f>
        <v>0</v>
      </c>
      <c r="AT42" s="32">
        <v>0</v>
      </c>
      <c r="AU42" s="32">
        <f>L42</f>
        <v>0.15804600000000002</v>
      </c>
    </row>
    <row r="43" spans="1:47" ht="12.75">
      <c r="A43" s="4" t="s">
        <v>26</v>
      </c>
      <c r="B43" s="4"/>
      <c r="C43" s="4" t="s">
        <v>79</v>
      </c>
      <c r="D43" s="4" t="s">
        <v>154</v>
      </c>
      <c r="E43" s="4" t="s">
        <v>210</v>
      </c>
      <c r="F43" s="18">
        <v>21.3</v>
      </c>
      <c r="G43" s="18">
        <v>0</v>
      </c>
      <c r="H43" s="18">
        <f>F43*AD43</f>
        <v>0</v>
      </c>
      <c r="I43" s="18">
        <f>J43-H43</f>
        <v>0</v>
      </c>
      <c r="J43" s="18">
        <f>F43*G43</f>
        <v>0</v>
      </c>
      <c r="K43" s="18">
        <v>0.00648</v>
      </c>
      <c r="L43" s="18">
        <f>F43*K43</f>
        <v>0.138024</v>
      </c>
      <c r="O43" s="32">
        <f>IF(AF43="5",J43,0)</f>
        <v>0</v>
      </c>
      <c r="Q43" s="32">
        <f>IF(AF43="1",H43,0)</f>
        <v>0</v>
      </c>
      <c r="R43" s="32">
        <f>IF(AF43="1",I43,0)</f>
        <v>0</v>
      </c>
      <c r="S43" s="32">
        <f>IF(AF43="7",H43,0)</f>
        <v>0</v>
      </c>
      <c r="T43" s="32">
        <f>IF(AF43="7",I43,0)</f>
        <v>0</v>
      </c>
      <c r="U43" s="32">
        <f>IF(AF43="2",H43,0)</f>
        <v>0</v>
      </c>
      <c r="V43" s="32">
        <f>IF(AF43="2",I43,0)</f>
        <v>0</v>
      </c>
      <c r="W43" s="32">
        <f>IF(AF43="0",J43,0)</f>
        <v>0</v>
      </c>
      <c r="X43" s="27"/>
      <c r="Y43" s="18">
        <f>IF(AC43=0,J43,0)</f>
        <v>0</v>
      </c>
      <c r="Z43" s="18">
        <f>IF(AC43=15,J43,0)</f>
        <v>0</v>
      </c>
      <c r="AA43" s="18">
        <f>IF(AC43=21,J43,0)</f>
        <v>0</v>
      </c>
      <c r="AC43" s="32">
        <v>15</v>
      </c>
      <c r="AD43" s="32">
        <f>G43*0.336228571428571</f>
        <v>0</v>
      </c>
      <c r="AE43" s="32">
        <f>G43*(1-0.336228571428571)</f>
        <v>0</v>
      </c>
      <c r="AF43" s="28" t="s">
        <v>13</v>
      </c>
      <c r="AL43" s="32">
        <f>F43*AD43</f>
        <v>0</v>
      </c>
      <c r="AM43" s="32">
        <f>F43*AE43</f>
        <v>0</v>
      </c>
      <c r="AN43" s="33" t="s">
        <v>243</v>
      </c>
      <c r="AO43" s="33" t="s">
        <v>257</v>
      </c>
      <c r="AP43" s="27" t="s">
        <v>260</v>
      </c>
      <c r="AR43" s="32">
        <f>AL43+AM43</f>
        <v>0</v>
      </c>
      <c r="AS43" s="32">
        <f>G43/(100-AT43)*100</f>
        <v>0</v>
      </c>
      <c r="AT43" s="32">
        <v>0</v>
      </c>
      <c r="AU43" s="32">
        <f>L43</f>
        <v>0.138024</v>
      </c>
    </row>
    <row r="44" spans="1:47" ht="12.75">
      <c r="A44" s="4" t="s">
        <v>27</v>
      </c>
      <c r="B44" s="4"/>
      <c r="C44" s="4" t="s">
        <v>80</v>
      </c>
      <c r="D44" s="4" t="s">
        <v>155</v>
      </c>
      <c r="E44" s="4" t="s">
        <v>210</v>
      </c>
      <c r="F44" s="18">
        <v>7.3</v>
      </c>
      <c r="G44" s="18">
        <v>0</v>
      </c>
      <c r="H44" s="18">
        <f>F44*AD44</f>
        <v>0</v>
      </c>
      <c r="I44" s="18">
        <f>J44-H44</f>
        <v>0</v>
      </c>
      <c r="J44" s="18">
        <f>F44*G44</f>
        <v>0</v>
      </c>
      <c r="K44" s="18">
        <v>0.00679</v>
      </c>
      <c r="L44" s="18">
        <f>F44*K44</f>
        <v>0.049567</v>
      </c>
      <c r="O44" s="32">
        <f>IF(AF44="5",J44,0)</f>
        <v>0</v>
      </c>
      <c r="Q44" s="32">
        <f>IF(AF44="1",H44,0)</f>
        <v>0</v>
      </c>
      <c r="R44" s="32">
        <f>IF(AF44="1",I44,0)</f>
        <v>0</v>
      </c>
      <c r="S44" s="32">
        <f>IF(AF44="7",H44,0)</f>
        <v>0</v>
      </c>
      <c r="T44" s="32">
        <f>IF(AF44="7",I44,0)</f>
        <v>0</v>
      </c>
      <c r="U44" s="32">
        <f>IF(AF44="2",H44,0)</f>
        <v>0</v>
      </c>
      <c r="V44" s="32">
        <f>IF(AF44="2",I44,0)</f>
        <v>0</v>
      </c>
      <c r="W44" s="32">
        <f>IF(AF44="0",J44,0)</f>
        <v>0</v>
      </c>
      <c r="X44" s="27"/>
      <c r="Y44" s="18">
        <f>IF(AC44=0,J44,0)</f>
        <v>0</v>
      </c>
      <c r="Z44" s="18">
        <f>IF(AC44=15,J44,0)</f>
        <v>0</v>
      </c>
      <c r="AA44" s="18">
        <f>IF(AC44=21,J44,0)</f>
        <v>0</v>
      </c>
      <c r="AC44" s="32">
        <v>15</v>
      </c>
      <c r="AD44" s="32">
        <f>G44*0.413608974358974</f>
        <v>0</v>
      </c>
      <c r="AE44" s="32">
        <f>G44*(1-0.413608974358974)</f>
        <v>0</v>
      </c>
      <c r="AF44" s="28" t="s">
        <v>13</v>
      </c>
      <c r="AL44" s="32">
        <f>F44*AD44</f>
        <v>0</v>
      </c>
      <c r="AM44" s="32">
        <f>F44*AE44</f>
        <v>0</v>
      </c>
      <c r="AN44" s="33" t="s">
        <v>243</v>
      </c>
      <c r="AO44" s="33" t="s">
        <v>257</v>
      </c>
      <c r="AP44" s="27" t="s">
        <v>260</v>
      </c>
      <c r="AR44" s="32">
        <f>AL44+AM44</f>
        <v>0</v>
      </c>
      <c r="AS44" s="32">
        <f>G44/(100-AT44)*100</f>
        <v>0</v>
      </c>
      <c r="AT44" s="32">
        <v>0</v>
      </c>
      <c r="AU44" s="32">
        <f>L44</f>
        <v>0.049567</v>
      </c>
    </row>
    <row r="45" spans="1:47" ht="12.75">
      <c r="A45" s="4" t="s">
        <v>28</v>
      </c>
      <c r="B45" s="4"/>
      <c r="C45" s="4" t="s">
        <v>81</v>
      </c>
      <c r="D45" s="4" t="s">
        <v>156</v>
      </c>
      <c r="E45" s="4" t="s">
        <v>210</v>
      </c>
      <c r="F45" s="18">
        <v>22</v>
      </c>
      <c r="G45" s="18">
        <v>0</v>
      </c>
      <c r="H45" s="18">
        <f>F45*AD45</f>
        <v>0</v>
      </c>
      <c r="I45" s="18">
        <f>J45-H45</f>
        <v>0</v>
      </c>
      <c r="J45" s="18">
        <f>F45*G45</f>
        <v>0</v>
      </c>
      <c r="K45" s="18">
        <v>0.00263</v>
      </c>
      <c r="L45" s="18">
        <f>F45*K45</f>
        <v>0.05786</v>
      </c>
      <c r="O45" s="32">
        <f>IF(AF45="5",J45,0)</f>
        <v>0</v>
      </c>
      <c r="Q45" s="32">
        <f>IF(AF45="1",H45,0)</f>
        <v>0</v>
      </c>
      <c r="R45" s="32">
        <f>IF(AF45="1",I45,0)</f>
        <v>0</v>
      </c>
      <c r="S45" s="32">
        <f>IF(AF45="7",H45,0)</f>
        <v>0</v>
      </c>
      <c r="T45" s="32">
        <f>IF(AF45="7",I45,0)</f>
        <v>0</v>
      </c>
      <c r="U45" s="32">
        <f>IF(AF45="2",H45,0)</f>
        <v>0</v>
      </c>
      <c r="V45" s="32">
        <f>IF(AF45="2",I45,0)</f>
        <v>0</v>
      </c>
      <c r="W45" s="32">
        <f>IF(AF45="0",J45,0)</f>
        <v>0</v>
      </c>
      <c r="X45" s="27"/>
      <c r="Y45" s="18">
        <f>IF(AC45=0,J45,0)</f>
        <v>0</v>
      </c>
      <c r="Z45" s="18">
        <f>IF(AC45=15,J45,0)</f>
        <v>0</v>
      </c>
      <c r="AA45" s="18">
        <f>IF(AC45=21,J45,0)</f>
        <v>0</v>
      </c>
      <c r="AC45" s="32">
        <v>15</v>
      </c>
      <c r="AD45" s="32">
        <f>G45*0.265500848896435</f>
        <v>0</v>
      </c>
      <c r="AE45" s="32">
        <f>G45*(1-0.265500848896435)</f>
        <v>0</v>
      </c>
      <c r="AF45" s="28" t="s">
        <v>13</v>
      </c>
      <c r="AL45" s="32">
        <f>F45*AD45</f>
        <v>0</v>
      </c>
      <c r="AM45" s="32">
        <f>F45*AE45</f>
        <v>0</v>
      </c>
      <c r="AN45" s="33" t="s">
        <v>243</v>
      </c>
      <c r="AO45" s="33" t="s">
        <v>257</v>
      </c>
      <c r="AP45" s="27" t="s">
        <v>260</v>
      </c>
      <c r="AR45" s="32">
        <f>AL45+AM45</f>
        <v>0</v>
      </c>
      <c r="AS45" s="32">
        <f>G45/(100-AT45)*100</f>
        <v>0</v>
      </c>
      <c r="AT45" s="32">
        <v>0</v>
      </c>
      <c r="AU45" s="32">
        <f>L45</f>
        <v>0.05786</v>
      </c>
    </row>
    <row r="46" ht="38.25">
      <c r="D46" s="15" t="s">
        <v>157</v>
      </c>
    </row>
    <row r="47" spans="1:47" ht="12.75">
      <c r="A47" s="4" t="s">
        <v>29</v>
      </c>
      <c r="B47" s="4"/>
      <c r="C47" s="4" t="s">
        <v>82</v>
      </c>
      <c r="D47" s="4" t="s">
        <v>158</v>
      </c>
      <c r="E47" s="4" t="s">
        <v>210</v>
      </c>
      <c r="F47" s="18">
        <v>16.2</v>
      </c>
      <c r="G47" s="18">
        <v>0</v>
      </c>
      <c r="H47" s="18">
        <f>F47*AD47</f>
        <v>0</v>
      </c>
      <c r="I47" s="18">
        <f>J47-H47</f>
        <v>0</v>
      </c>
      <c r="J47" s="18">
        <f>F47*G47</f>
        <v>0</v>
      </c>
      <c r="K47" s="18">
        <v>0.00308</v>
      </c>
      <c r="L47" s="18">
        <f>F47*K47</f>
        <v>0.049895999999999996</v>
      </c>
      <c r="O47" s="32">
        <f>IF(AF47="5",J47,0)</f>
        <v>0</v>
      </c>
      <c r="Q47" s="32">
        <f>IF(AF47="1",H47,0)</f>
        <v>0</v>
      </c>
      <c r="R47" s="32">
        <f>IF(AF47="1",I47,0)</f>
        <v>0</v>
      </c>
      <c r="S47" s="32">
        <f>IF(AF47="7",H47,0)</f>
        <v>0</v>
      </c>
      <c r="T47" s="32">
        <f>IF(AF47="7",I47,0)</f>
        <v>0</v>
      </c>
      <c r="U47" s="32">
        <f>IF(AF47="2",H47,0)</f>
        <v>0</v>
      </c>
      <c r="V47" s="32">
        <f>IF(AF47="2",I47,0)</f>
        <v>0</v>
      </c>
      <c r="W47" s="32">
        <f>IF(AF47="0",J47,0)</f>
        <v>0</v>
      </c>
      <c r="X47" s="27"/>
      <c r="Y47" s="18">
        <f>IF(AC47=0,J47,0)</f>
        <v>0</v>
      </c>
      <c r="Z47" s="18">
        <f>IF(AC47=15,J47,0)</f>
        <v>0</v>
      </c>
      <c r="AA47" s="18">
        <f>IF(AC47=21,J47,0)</f>
        <v>0</v>
      </c>
      <c r="AC47" s="32">
        <v>15</v>
      </c>
      <c r="AD47" s="32">
        <f>G47*0.251176470588235</f>
        <v>0</v>
      </c>
      <c r="AE47" s="32">
        <f>G47*(1-0.251176470588235)</f>
        <v>0</v>
      </c>
      <c r="AF47" s="28" t="s">
        <v>13</v>
      </c>
      <c r="AL47" s="32">
        <f>F47*AD47</f>
        <v>0</v>
      </c>
      <c r="AM47" s="32">
        <f>F47*AE47</f>
        <v>0</v>
      </c>
      <c r="AN47" s="33" t="s">
        <v>243</v>
      </c>
      <c r="AO47" s="33" t="s">
        <v>257</v>
      </c>
      <c r="AP47" s="27" t="s">
        <v>260</v>
      </c>
      <c r="AR47" s="32">
        <f>AL47+AM47</f>
        <v>0</v>
      </c>
      <c r="AS47" s="32">
        <f>G47/(100-AT47)*100</f>
        <v>0</v>
      </c>
      <c r="AT47" s="32">
        <v>0</v>
      </c>
      <c r="AU47" s="32">
        <f>L47</f>
        <v>0.049895999999999996</v>
      </c>
    </row>
    <row r="48" ht="25.5">
      <c r="D48" s="15" t="s">
        <v>159</v>
      </c>
    </row>
    <row r="49" spans="1:47" ht="12.75">
      <c r="A49" s="4" t="s">
        <v>30</v>
      </c>
      <c r="B49" s="4"/>
      <c r="C49" s="4" t="s">
        <v>83</v>
      </c>
      <c r="D49" s="4" t="s">
        <v>160</v>
      </c>
      <c r="E49" s="4" t="s">
        <v>211</v>
      </c>
      <c r="F49" s="18">
        <v>2</v>
      </c>
      <c r="G49" s="18">
        <v>0</v>
      </c>
      <c r="H49" s="18">
        <f>F49*AD49</f>
        <v>0</v>
      </c>
      <c r="I49" s="18">
        <f>J49-H49</f>
        <v>0</v>
      </c>
      <c r="J49" s="18">
        <f>F49*G49</f>
        <v>0</v>
      </c>
      <c r="K49" s="18">
        <v>0.00322</v>
      </c>
      <c r="L49" s="18">
        <f>F49*K49</f>
        <v>0.00644</v>
      </c>
      <c r="O49" s="32">
        <f>IF(AF49="5",J49,0)</f>
        <v>0</v>
      </c>
      <c r="Q49" s="32">
        <f>IF(AF49="1",H49,0)</f>
        <v>0</v>
      </c>
      <c r="R49" s="32">
        <f>IF(AF49="1",I49,0)</f>
        <v>0</v>
      </c>
      <c r="S49" s="32">
        <f>IF(AF49="7",H49,0)</f>
        <v>0</v>
      </c>
      <c r="T49" s="32">
        <f>IF(AF49="7",I49,0)</f>
        <v>0</v>
      </c>
      <c r="U49" s="32">
        <f>IF(AF49="2",H49,0)</f>
        <v>0</v>
      </c>
      <c r="V49" s="32">
        <f>IF(AF49="2",I49,0)</f>
        <v>0</v>
      </c>
      <c r="W49" s="32">
        <f>IF(AF49="0",J49,0)</f>
        <v>0</v>
      </c>
      <c r="X49" s="27"/>
      <c r="Y49" s="18">
        <f>IF(AC49=0,J49,0)</f>
        <v>0</v>
      </c>
      <c r="Z49" s="18">
        <f>IF(AC49=15,J49,0)</f>
        <v>0</v>
      </c>
      <c r="AA49" s="18">
        <f>IF(AC49=21,J49,0)</f>
        <v>0</v>
      </c>
      <c r="AC49" s="32">
        <v>15</v>
      </c>
      <c r="AD49" s="32">
        <f>G49*0</f>
        <v>0</v>
      </c>
      <c r="AE49" s="32">
        <f>G49*(1-0)</f>
        <v>0</v>
      </c>
      <c r="AF49" s="28" t="s">
        <v>13</v>
      </c>
      <c r="AL49" s="32">
        <f>F49*AD49</f>
        <v>0</v>
      </c>
      <c r="AM49" s="32">
        <f>F49*AE49</f>
        <v>0</v>
      </c>
      <c r="AN49" s="33" t="s">
        <v>243</v>
      </c>
      <c r="AO49" s="33" t="s">
        <v>257</v>
      </c>
      <c r="AP49" s="27" t="s">
        <v>260</v>
      </c>
      <c r="AR49" s="32">
        <f>AL49+AM49</f>
        <v>0</v>
      </c>
      <c r="AS49" s="32">
        <f>G49/(100-AT49)*100</f>
        <v>0</v>
      </c>
      <c r="AT49" s="32">
        <v>0</v>
      </c>
      <c r="AU49" s="32">
        <f>L49</f>
        <v>0.00644</v>
      </c>
    </row>
    <row r="50" spans="1:47" ht="12.75">
      <c r="A50" s="4" t="s">
        <v>31</v>
      </c>
      <c r="B50" s="4"/>
      <c r="C50" s="4" t="s">
        <v>84</v>
      </c>
      <c r="D50" s="4" t="s">
        <v>161</v>
      </c>
      <c r="E50" s="4" t="s">
        <v>211</v>
      </c>
      <c r="F50" s="18">
        <v>2</v>
      </c>
      <c r="G50" s="18">
        <v>0</v>
      </c>
      <c r="H50" s="18">
        <f>F50*AD50</f>
        <v>0</v>
      </c>
      <c r="I50" s="18">
        <f>J50-H50</f>
        <v>0</v>
      </c>
      <c r="J50" s="18">
        <f>F50*G50</f>
        <v>0</v>
      </c>
      <c r="K50" s="18">
        <v>7E-05</v>
      </c>
      <c r="L50" s="18">
        <f>F50*K50</f>
        <v>0.00014</v>
      </c>
      <c r="O50" s="32">
        <f>IF(AF50="5",J50,0)</f>
        <v>0</v>
      </c>
      <c r="Q50" s="32">
        <f>IF(AF50="1",H50,0)</f>
        <v>0</v>
      </c>
      <c r="R50" s="32">
        <f>IF(AF50="1",I50,0)</f>
        <v>0</v>
      </c>
      <c r="S50" s="32">
        <f>IF(AF50="7",H50,0)</f>
        <v>0</v>
      </c>
      <c r="T50" s="32">
        <f>IF(AF50="7",I50,0)</f>
        <v>0</v>
      </c>
      <c r="U50" s="32">
        <f>IF(AF50="2",H50,0)</f>
        <v>0</v>
      </c>
      <c r="V50" s="32">
        <f>IF(AF50="2",I50,0)</f>
        <v>0</v>
      </c>
      <c r="W50" s="32">
        <f>IF(AF50="0",J50,0)</f>
        <v>0</v>
      </c>
      <c r="X50" s="27"/>
      <c r="Y50" s="18">
        <f>IF(AC50=0,J50,0)</f>
        <v>0</v>
      </c>
      <c r="Z50" s="18">
        <f>IF(AC50=15,J50,0)</f>
        <v>0</v>
      </c>
      <c r="AA50" s="18">
        <f>IF(AC50=21,J50,0)</f>
        <v>0</v>
      </c>
      <c r="AC50" s="32">
        <v>15</v>
      </c>
      <c r="AD50" s="32">
        <f>G50*0.0678481012658228</f>
        <v>0</v>
      </c>
      <c r="AE50" s="32">
        <f>G50*(1-0.0678481012658228)</f>
        <v>0</v>
      </c>
      <c r="AF50" s="28" t="s">
        <v>13</v>
      </c>
      <c r="AL50" s="32">
        <f>F50*AD50</f>
        <v>0</v>
      </c>
      <c r="AM50" s="32">
        <f>F50*AE50</f>
        <v>0</v>
      </c>
      <c r="AN50" s="33" t="s">
        <v>243</v>
      </c>
      <c r="AO50" s="33" t="s">
        <v>257</v>
      </c>
      <c r="AP50" s="27" t="s">
        <v>260</v>
      </c>
      <c r="AR50" s="32">
        <f>AL50+AM50</f>
        <v>0</v>
      </c>
      <c r="AS50" s="32">
        <f>G50/(100-AT50)*100</f>
        <v>0</v>
      </c>
      <c r="AT50" s="32">
        <v>0</v>
      </c>
      <c r="AU50" s="32">
        <f>L50</f>
        <v>0.00014</v>
      </c>
    </row>
    <row r="51" spans="1:36" ht="12.75">
      <c r="A51" s="6"/>
      <c r="B51" s="13"/>
      <c r="C51" s="13" t="s">
        <v>85</v>
      </c>
      <c r="D51" s="116" t="s">
        <v>162</v>
      </c>
      <c r="E51" s="117"/>
      <c r="F51" s="117"/>
      <c r="G51" s="117"/>
      <c r="H51" s="35">
        <f>SUM(H52:H52)</f>
        <v>0</v>
      </c>
      <c r="I51" s="35">
        <f>SUM(I52:I52)</f>
        <v>0</v>
      </c>
      <c r="J51" s="35">
        <f>H51+I51</f>
        <v>0</v>
      </c>
      <c r="K51" s="27"/>
      <c r="L51" s="35">
        <f>SUM(L52:L52)</f>
        <v>0.07927200000000001</v>
      </c>
      <c r="X51" s="27"/>
      <c r="AH51" s="35">
        <f>SUM(Y52:Y52)</f>
        <v>0</v>
      </c>
      <c r="AI51" s="35">
        <f>SUM(Z52:Z52)</f>
        <v>0</v>
      </c>
      <c r="AJ51" s="35">
        <f>SUM(AA52:AA52)</f>
        <v>0</v>
      </c>
    </row>
    <row r="52" spans="1:47" ht="12.75">
      <c r="A52" s="4" t="s">
        <v>32</v>
      </c>
      <c r="B52" s="4"/>
      <c r="C52" s="4" t="s">
        <v>86</v>
      </c>
      <c r="D52" s="4" t="s">
        <v>163</v>
      </c>
      <c r="E52" s="4" t="s">
        <v>209</v>
      </c>
      <c r="F52" s="18">
        <v>21.6</v>
      </c>
      <c r="G52" s="18">
        <v>0</v>
      </c>
      <c r="H52" s="18">
        <f>F52*AD52</f>
        <v>0</v>
      </c>
      <c r="I52" s="18">
        <f>J52-H52</f>
        <v>0</v>
      </c>
      <c r="J52" s="18">
        <f>F52*G52</f>
        <v>0</v>
      </c>
      <c r="K52" s="18">
        <v>0.00367</v>
      </c>
      <c r="L52" s="18">
        <f>F52*K52</f>
        <v>0.07927200000000001</v>
      </c>
      <c r="O52" s="32">
        <f>IF(AF52="5",J52,0)</f>
        <v>0</v>
      </c>
      <c r="Q52" s="32">
        <f>IF(AF52="1",H52,0)</f>
        <v>0</v>
      </c>
      <c r="R52" s="32">
        <f>IF(AF52="1",I52,0)</f>
        <v>0</v>
      </c>
      <c r="S52" s="32">
        <f>IF(AF52="7",H52,0)</f>
        <v>0</v>
      </c>
      <c r="T52" s="32">
        <f>IF(AF52="7",I52,0)</f>
        <v>0</v>
      </c>
      <c r="U52" s="32">
        <f>IF(AF52="2",H52,0)</f>
        <v>0</v>
      </c>
      <c r="V52" s="32">
        <f>IF(AF52="2",I52,0)</f>
        <v>0</v>
      </c>
      <c r="W52" s="32">
        <f>IF(AF52="0",J52,0)</f>
        <v>0</v>
      </c>
      <c r="X52" s="27"/>
      <c r="Y52" s="18">
        <f>IF(AC52=0,J52,0)</f>
        <v>0</v>
      </c>
      <c r="Z52" s="18">
        <f>IF(AC52=15,J52,0)</f>
        <v>0</v>
      </c>
      <c r="AA52" s="18">
        <f>IF(AC52=21,J52,0)</f>
        <v>0</v>
      </c>
      <c r="AC52" s="32">
        <v>15</v>
      </c>
      <c r="AD52" s="32">
        <f>G52*0.0202603036876356</f>
        <v>0</v>
      </c>
      <c r="AE52" s="32">
        <f>G52*(1-0.0202603036876356)</f>
        <v>0</v>
      </c>
      <c r="AF52" s="28" t="s">
        <v>13</v>
      </c>
      <c r="AL52" s="32">
        <f>F52*AD52</f>
        <v>0</v>
      </c>
      <c r="AM52" s="32">
        <f>F52*AE52</f>
        <v>0</v>
      </c>
      <c r="AN52" s="33" t="s">
        <v>244</v>
      </c>
      <c r="AO52" s="33" t="s">
        <v>257</v>
      </c>
      <c r="AP52" s="27" t="s">
        <v>260</v>
      </c>
      <c r="AR52" s="32">
        <f>AL52+AM52</f>
        <v>0</v>
      </c>
      <c r="AS52" s="32">
        <f>G52/(100-AT52)*100</f>
        <v>0</v>
      </c>
      <c r="AT52" s="32">
        <v>0</v>
      </c>
      <c r="AU52" s="32">
        <f>L52</f>
        <v>0.07927200000000001</v>
      </c>
    </row>
    <row r="53" ht="12.75">
      <c r="D53" s="15" t="s">
        <v>164</v>
      </c>
    </row>
    <row r="54" spans="1:36" ht="12.75">
      <c r="A54" s="6"/>
      <c r="B54" s="13"/>
      <c r="C54" s="13" t="s">
        <v>87</v>
      </c>
      <c r="D54" s="116" t="s">
        <v>165</v>
      </c>
      <c r="E54" s="117"/>
      <c r="F54" s="117"/>
      <c r="G54" s="117"/>
      <c r="H54" s="35">
        <f>SUM(H55:H55)</f>
        <v>0</v>
      </c>
      <c r="I54" s="35">
        <f>SUM(I55:I55)</f>
        <v>0</v>
      </c>
      <c r="J54" s="35">
        <f>H54+I54</f>
        <v>0</v>
      </c>
      <c r="K54" s="27"/>
      <c r="L54" s="35">
        <f>SUM(L55:L55)</f>
        <v>0</v>
      </c>
      <c r="X54" s="27"/>
      <c r="AH54" s="35">
        <f>SUM(Y55:Y55)</f>
        <v>0</v>
      </c>
      <c r="AI54" s="35">
        <f>SUM(Z55:Z55)</f>
        <v>0</v>
      </c>
      <c r="AJ54" s="35">
        <f>SUM(AA55:AA55)</f>
        <v>0</v>
      </c>
    </row>
    <row r="55" spans="1:47" ht="12.75">
      <c r="A55" s="4" t="s">
        <v>33</v>
      </c>
      <c r="B55" s="4"/>
      <c r="C55" s="4" t="s">
        <v>88</v>
      </c>
      <c r="D55" s="4" t="s">
        <v>166</v>
      </c>
      <c r="E55" s="4" t="s">
        <v>211</v>
      </c>
      <c r="F55" s="18">
        <v>9</v>
      </c>
      <c r="G55" s="18">
        <v>0</v>
      </c>
      <c r="H55" s="18">
        <f>F55*AD55</f>
        <v>0</v>
      </c>
      <c r="I55" s="18">
        <f>J55-H55</f>
        <v>0</v>
      </c>
      <c r="J55" s="18">
        <f>F55*G55</f>
        <v>0</v>
      </c>
      <c r="K55" s="18">
        <v>0</v>
      </c>
      <c r="L55" s="18">
        <f>F55*K55</f>
        <v>0</v>
      </c>
      <c r="O55" s="32">
        <f>IF(AF55="5",J55,0)</f>
        <v>0</v>
      </c>
      <c r="Q55" s="32">
        <f>IF(AF55="1",H55,0)</f>
        <v>0</v>
      </c>
      <c r="R55" s="32">
        <f>IF(AF55="1",I55,0)</f>
        <v>0</v>
      </c>
      <c r="S55" s="32">
        <f>IF(AF55="7",H55,0)</f>
        <v>0</v>
      </c>
      <c r="T55" s="32">
        <f>IF(AF55="7",I55,0)</f>
        <v>0</v>
      </c>
      <c r="U55" s="32">
        <f>IF(AF55="2",H55,0)</f>
        <v>0</v>
      </c>
      <c r="V55" s="32">
        <f>IF(AF55="2",I55,0)</f>
        <v>0</v>
      </c>
      <c r="W55" s="32">
        <f>IF(AF55="0",J55,0)</f>
        <v>0</v>
      </c>
      <c r="X55" s="27"/>
      <c r="Y55" s="18">
        <f>IF(AC55=0,J55,0)</f>
        <v>0</v>
      </c>
      <c r="Z55" s="18">
        <f>IF(AC55=15,J55,0)</f>
        <v>0</v>
      </c>
      <c r="AA55" s="18">
        <f>IF(AC55=21,J55,0)</f>
        <v>0</v>
      </c>
      <c r="AC55" s="32">
        <v>15</v>
      </c>
      <c r="AD55" s="32">
        <f>G55*0</f>
        <v>0</v>
      </c>
      <c r="AE55" s="32">
        <f>G55*(1-0)</f>
        <v>0</v>
      </c>
      <c r="AF55" s="28" t="s">
        <v>13</v>
      </c>
      <c r="AL55" s="32">
        <f>F55*AD55</f>
        <v>0</v>
      </c>
      <c r="AM55" s="32">
        <f>F55*AE55</f>
        <v>0</v>
      </c>
      <c r="AN55" s="33" t="s">
        <v>245</v>
      </c>
      <c r="AO55" s="33" t="s">
        <v>257</v>
      </c>
      <c r="AP55" s="27" t="s">
        <v>260</v>
      </c>
      <c r="AR55" s="32">
        <f>AL55+AM55</f>
        <v>0</v>
      </c>
      <c r="AS55" s="32">
        <f>G55/(100-AT55)*100</f>
        <v>0</v>
      </c>
      <c r="AT55" s="32">
        <v>0</v>
      </c>
      <c r="AU55" s="32">
        <f>L55</f>
        <v>0</v>
      </c>
    </row>
    <row r="56" ht="12.75">
      <c r="D56" s="15" t="s">
        <v>167</v>
      </c>
    </row>
    <row r="57" spans="1:36" ht="12.75">
      <c r="A57" s="6"/>
      <c r="B57" s="13"/>
      <c r="C57" s="13" t="s">
        <v>89</v>
      </c>
      <c r="D57" s="116" t="s">
        <v>168</v>
      </c>
      <c r="E57" s="117"/>
      <c r="F57" s="117"/>
      <c r="G57" s="117"/>
      <c r="H57" s="35">
        <f>SUM(H58:H60)</f>
        <v>0</v>
      </c>
      <c r="I57" s="35">
        <f>SUM(I58:I60)</f>
        <v>0</v>
      </c>
      <c r="J57" s="35">
        <f>H57+I57</f>
        <v>0</v>
      </c>
      <c r="K57" s="27"/>
      <c r="L57" s="35">
        <f>SUM(L58:L60)</f>
        <v>0.27005511</v>
      </c>
      <c r="X57" s="27"/>
      <c r="AH57" s="35">
        <f>SUM(Y58:Y60)</f>
        <v>0</v>
      </c>
      <c r="AI57" s="35">
        <f>SUM(Z58:Z60)</f>
        <v>0</v>
      </c>
      <c r="AJ57" s="35">
        <f>SUM(AA58:AA60)</f>
        <v>0</v>
      </c>
    </row>
    <row r="58" spans="1:47" ht="12.75">
      <c r="A58" s="4" t="s">
        <v>34</v>
      </c>
      <c r="B58" s="4"/>
      <c r="C58" s="4" t="s">
        <v>90</v>
      </c>
      <c r="D58" s="4" t="s">
        <v>169</v>
      </c>
      <c r="E58" s="4" t="s">
        <v>209</v>
      </c>
      <c r="F58" s="18">
        <v>54.203</v>
      </c>
      <c r="G58" s="18">
        <v>0</v>
      </c>
      <c r="H58" s="18">
        <f>F58*AD58</f>
        <v>0</v>
      </c>
      <c r="I58" s="18">
        <f>J58-H58</f>
        <v>0</v>
      </c>
      <c r="J58" s="18">
        <f>F58*G58</f>
        <v>0</v>
      </c>
      <c r="K58" s="18">
        <v>0.00037</v>
      </c>
      <c r="L58" s="18">
        <f>F58*K58</f>
        <v>0.02005511</v>
      </c>
      <c r="O58" s="32">
        <f>IF(AF58="5",J58,0)</f>
        <v>0</v>
      </c>
      <c r="Q58" s="32">
        <f>IF(AF58="1",H58,0)</f>
        <v>0</v>
      </c>
      <c r="R58" s="32">
        <f>IF(AF58="1",I58,0)</f>
        <v>0</v>
      </c>
      <c r="S58" s="32">
        <f>IF(AF58="7",H58,0)</f>
        <v>0</v>
      </c>
      <c r="T58" s="32">
        <f>IF(AF58="7",I58,0)</f>
        <v>0</v>
      </c>
      <c r="U58" s="32">
        <f>IF(AF58="2",H58,0)</f>
        <v>0</v>
      </c>
      <c r="V58" s="32">
        <f>IF(AF58="2",I58,0)</f>
        <v>0</v>
      </c>
      <c r="W58" s="32">
        <f>IF(AF58="0",J58,0)</f>
        <v>0</v>
      </c>
      <c r="X58" s="27"/>
      <c r="Y58" s="18">
        <f>IF(AC58=0,J58,0)</f>
        <v>0</v>
      </c>
      <c r="Z58" s="18">
        <f>IF(AC58=15,J58,0)</f>
        <v>0</v>
      </c>
      <c r="AA58" s="18">
        <f>IF(AC58=21,J58,0)</f>
        <v>0</v>
      </c>
      <c r="AC58" s="32">
        <v>15</v>
      </c>
      <c r="AD58" s="32">
        <f>G58*0.431333333333333</f>
        <v>0</v>
      </c>
      <c r="AE58" s="32">
        <f>G58*(1-0.431333333333333)</f>
        <v>0</v>
      </c>
      <c r="AF58" s="28" t="s">
        <v>13</v>
      </c>
      <c r="AL58" s="32">
        <f>F58*AD58</f>
        <v>0</v>
      </c>
      <c r="AM58" s="32">
        <f>F58*AE58</f>
        <v>0</v>
      </c>
      <c r="AN58" s="33" t="s">
        <v>246</v>
      </c>
      <c r="AO58" s="33" t="s">
        <v>258</v>
      </c>
      <c r="AP58" s="27" t="s">
        <v>260</v>
      </c>
      <c r="AR58" s="32">
        <f>AL58+AM58</f>
        <v>0</v>
      </c>
      <c r="AS58" s="32">
        <f>G58/(100-AT58)*100</f>
        <v>0</v>
      </c>
      <c r="AT58" s="32">
        <v>0</v>
      </c>
      <c r="AU58" s="32">
        <f>L58</f>
        <v>0.02005511</v>
      </c>
    </row>
    <row r="59" ht="12.75">
      <c r="D59" s="15" t="s">
        <v>170</v>
      </c>
    </row>
    <row r="60" spans="1:47" ht="12.75">
      <c r="A60" s="4" t="s">
        <v>35</v>
      </c>
      <c r="B60" s="4"/>
      <c r="C60" s="4" t="s">
        <v>91</v>
      </c>
      <c r="D60" s="4" t="s">
        <v>171</v>
      </c>
      <c r="E60" s="4" t="s">
        <v>212</v>
      </c>
      <c r="F60" s="18">
        <v>1</v>
      </c>
      <c r="G60" s="18">
        <v>0</v>
      </c>
      <c r="H60" s="18">
        <f>F60*AD60</f>
        <v>0</v>
      </c>
      <c r="I60" s="18">
        <f>J60-H60</f>
        <v>0</v>
      </c>
      <c r="J60" s="18">
        <f>F60*G60</f>
        <v>0</v>
      </c>
      <c r="K60" s="18">
        <v>0.25</v>
      </c>
      <c r="L60" s="18">
        <f>F60*K60</f>
        <v>0.25</v>
      </c>
      <c r="O60" s="32">
        <f>IF(AF60="5",J60,0)</f>
        <v>0</v>
      </c>
      <c r="Q60" s="32">
        <f>IF(AF60="1",H60,0)</f>
        <v>0</v>
      </c>
      <c r="R60" s="32">
        <f>IF(AF60="1",I60,0)</f>
        <v>0</v>
      </c>
      <c r="S60" s="32">
        <f>IF(AF60="7",H60,0)</f>
        <v>0</v>
      </c>
      <c r="T60" s="32">
        <f>IF(AF60="7",I60,0)</f>
        <v>0</v>
      </c>
      <c r="U60" s="32">
        <f>IF(AF60="2",H60,0)</f>
        <v>0</v>
      </c>
      <c r="V60" s="32">
        <f>IF(AF60="2",I60,0)</f>
        <v>0</v>
      </c>
      <c r="W60" s="32">
        <f>IF(AF60="0",J60,0)</f>
        <v>0</v>
      </c>
      <c r="X60" s="27"/>
      <c r="Y60" s="18">
        <f>IF(AC60=0,J60,0)</f>
        <v>0</v>
      </c>
      <c r="Z60" s="18">
        <f>IF(AC60=15,J60,0)</f>
        <v>0</v>
      </c>
      <c r="AA60" s="18">
        <f>IF(AC60=21,J60,0)</f>
        <v>0</v>
      </c>
      <c r="AC60" s="32">
        <v>15</v>
      </c>
      <c r="AD60" s="32">
        <f>G60*0</f>
        <v>0</v>
      </c>
      <c r="AE60" s="32">
        <f>G60*(1-0)</f>
        <v>0</v>
      </c>
      <c r="AF60" s="28" t="s">
        <v>13</v>
      </c>
      <c r="AL60" s="32">
        <f>F60*AD60</f>
        <v>0</v>
      </c>
      <c r="AM60" s="32">
        <f>F60*AE60</f>
        <v>0</v>
      </c>
      <c r="AN60" s="33" t="s">
        <v>246</v>
      </c>
      <c r="AO60" s="33" t="s">
        <v>258</v>
      </c>
      <c r="AP60" s="27" t="s">
        <v>260</v>
      </c>
      <c r="AR60" s="32">
        <f>AL60+AM60</f>
        <v>0</v>
      </c>
      <c r="AS60" s="32">
        <f>G60/(100-AT60)*100</f>
        <v>0</v>
      </c>
      <c r="AT60" s="32">
        <v>0</v>
      </c>
      <c r="AU60" s="32">
        <f>L60</f>
        <v>0.25</v>
      </c>
    </row>
    <row r="61" ht="12.75">
      <c r="D61" s="15" t="s">
        <v>172</v>
      </c>
    </row>
    <row r="62" spans="1:36" ht="12.75">
      <c r="A62" s="6"/>
      <c r="B62" s="13"/>
      <c r="C62" s="13" t="s">
        <v>92</v>
      </c>
      <c r="D62" s="116" t="s">
        <v>173</v>
      </c>
      <c r="E62" s="117"/>
      <c r="F62" s="117"/>
      <c r="G62" s="117"/>
      <c r="H62" s="35">
        <f>SUM(H63:H71)</f>
        <v>0</v>
      </c>
      <c r="I62" s="35">
        <f>SUM(I63:I71)</f>
        <v>0</v>
      </c>
      <c r="J62" s="35">
        <f>H62+I62</f>
        <v>0</v>
      </c>
      <c r="K62" s="27"/>
      <c r="L62" s="35">
        <f>SUM(L63:L71)</f>
        <v>7.70138</v>
      </c>
      <c r="X62" s="27"/>
      <c r="AH62" s="35">
        <f>SUM(Y63:Y71)</f>
        <v>0</v>
      </c>
      <c r="AI62" s="35">
        <f>SUM(Z63:Z71)</f>
        <v>0</v>
      </c>
      <c r="AJ62" s="35">
        <f>SUM(AA63:AA71)</f>
        <v>0</v>
      </c>
    </row>
    <row r="63" spans="1:47" ht="12.75">
      <c r="A63" s="4" t="s">
        <v>36</v>
      </c>
      <c r="B63" s="4"/>
      <c r="C63" s="4" t="s">
        <v>93</v>
      </c>
      <c r="D63" s="4" t="s">
        <v>174</v>
      </c>
      <c r="E63" s="4" t="s">
        <v>209</v>
      </c>
      <c r="F63" s="18">
        <v>346.5</v>
      </c>
      <c r="G63" s="18">
        <v>0</v>
      </c>
      <c r="H63" s="18">
        <f>F63*AD63</f>
        <v>0</v>
      </c>
      <c r="I63" s="18">
        <f>J63-H63</f>
        <v>0</v>
      </c>
      <c r="J63" s="18">
        <f>F63*G63</f>
        <v>0</v>
      </c>
      <c r="K63" s="18">
        <v>0.01838</v>
      </c>
      <c r="L63" s="18">
        <f>F63*K63</f>
        <v>6.36867</v>
      </c>
      <c r="O63" s="32">
        <f>IF(AF63="5",J63,0)</f>
        <v>0</v>
      </c>
      <c r="Q63" s="32">
        <f>IF(AF63="1",H63,0)</f>
        <v>0</v>
      </c>
      <c r="R63" s="32">
        <f>IF(AF63="1",I63,0)</f>
        <v>0</v>
      </c>
      <c r="S63" s="32">
        <f>IF(AF63="7",H63,0)</f>
        <v>0</v>
      </c>
      <c r="T63" s="32">
        <f>IF(AF63="7",I63,0)</f>
        <v>0</v>
      </c>
      <c r="U63" s="32">
        <f>IF(AF63="2",H63,0)</f>
        <v>0</v>
      </c>
      <c r="V63" s="32">
        <f>IF(AF63="2",I63,0)</f>
        <v>0</v>
      </c>
      <c r="W63" s="32">
        <f>IF(AF63="0",J63,0)</f>
        <v>0</v>
      </c>
      <c r="X63" s="27"/>
      <c r="Y63" s="18">
        <f>IF(AC63=0,J63,0)</f>
        <v>0</v>
      </c>
      <c r="Z63" s="18">
        <f>IF(AC63=15,J63,0)</f>
        <v>0</v>
      </c>
      <c r="AA63" s="18">
        <f>IF(AC63=21,J63,0)</f>
        <v>0</v>
      </c>
      <c r="AC63" s="32">
        <v>15</v>
      </c>
      <c r="AD63" s="32">
        <f>G63*0.000173010380622837</f>
        <v>0</v>
      </c>
      <c r="AE63" s="32">
        <f>G63*(1-0.000173010380622837)</f>
        <v>0</v>
      </c>
      <c r="AF63" s="28" t="s">
        <v>7</v>
      </c>
      <c r="AL63" s="32">
        <f>F63*AD63</f>
        <v>0</v>
      </c>
      <c r="AM63" s="32">
        <f>F63*AE63</f>
        <v>0</v>
      </c>
      <c r="AN63" s="33" t="s">
        <v>247</v>
      </c>
      <c r="AO63" s="33" t="s">
        <v>259</v>
      </c>
      <c r="AP63" s="27" t="s">
        <v>260</v>
      </c>
      <c r="AR63" s="32">
        <f>AL63+AM63</f>
        <v>0</v>
      </c>
      <c r="AS63" s="32">
        <f>G63/(100-AT63)*100</f>
        <v>0</v>
      </c>
      <c r="AT63" s="32">
        <v>0</v>
      </c>
      <c r="AU63" s="32">
        <f>L63</f>
        <v>6.36867</v>
      </c>
    </row>
    <row r="64" spans="1:47" ht="12.75">
      <c r="A64" s="4" t="s">
        <v>37</v>
      </c>
      <c r="B64" s="4"/>
      <c r="C64" s="4" t="s">
        <v>94</v>
      </c>
      <c r="D64" s="4" t="s">
        <v>175</v>
      </c>
      <c r="E64" s="4" t="s">
        <v>209</v>
      </c>
      <c r="F64" s="18">
        <v>693</v>
      </c>
      <c r="G64" s="18">
        <v>0</v>
      </c>
      <c r="H64" s="18">
        <f>F64*AD64</f>
        <v>0</v>
      </c>
      <c r="I64" s="18">
        <f>J64-H64</f>
        <v>0</v>
      </c>
      <c r="J64" s="18">
        <f>F64*G64</f>
        <v>0</v>
      </c>
      <c r="K64" s="18">
        <v>0.00095</v>
      </c>
      <c r="L64" s="18">
        <f>F64*K64</f>
        <v>0.65835</v>
      </c>
      <c r="O64" s="32">
        <f>IF(AF64="5",J64,0)</f>
        <v>0</v>
      </c>
      <c r="Q64" s="32">
        <f>IF(AF64="1",H64,0)</f>
        <v>0</v>
      </c>
      <c r="R64" s="32">
        <f>IF(AF64="1",I64,0)</f>
        <v>0</v>
      </c>
      <c r="S64" s="32">
        <f>IF(AF64="7",H64,0)</f>
        <v>0</v>
      </c>
      <c r="T64" s="32">
        <f>IF(AF64="7",I64,0)</f>
        <v>0</v>
      </c>
      <c r="U64" s="32">
        <f>IF(AF64="2",H64,0)</f>
        <v>0</v>
      </c>
      <c r="V64" s="32">
        <f>IF(AF64="2",I64,0)</f>
        <v>0</v>
      </c>
      <c r="W64" s="32">
        <f>IF(AF64="0",J64,0)</f>
        <v>0</v>
      </c>
      <c r="X64" s="27"/>
      <c r="Y64" s="18">
        <f>IF(AC64=0,J64,0)</f>
        <v>0</v>
      </c>
      <c r="Z64" s="18">
        <f>IF(AC64=15,J64,0)</f>
        <v>0</v>
      </c>
      <c r="AA64" s="18">
        <f>IF(AC64=21,J64,0)</f>
        <v>0</v>
      </c>
      <c r="AC64" s="32">
        <v>15</v>
      </c>
      <c r="AD64" s="32">
        <f>G64*0.927239376337511</f>
        <v>0</v>
      </c>
      <c r="AE64" s="32">
        <f>G64*(1-0.927239376337511)</f>
        <v>0</v>
      </c>
      <c r="AF64" s="28" t="s">
        <v>7</v>
      </c>
      <c r="AL64" s="32">
        <f>F64*AD64</f>
        <v>0</v>
      </c>
      <c r="AM64" s="32">
        <f>F64*AE64</f>
        <v>0</v>
      </c>
      <c r="AN64" s="33" t="s">
        <v>247</v>
      </c>
      <c r="AO64" s="33" t="s">
        <v>259</v>
      </c>
      <c r="AP64" s="27" t="s">
        <v>260</v>
      </c>
      <c r="AR64" s="32">
        <f>AL64+AM64</f>
        <v>0</v>
      </c>
      <c r="AS64" s="32">
        <f>G64/(100-AT64)*100</f>
        <v>0</v>
      </c>
      <c r="AT64" s="32">
        <v>0</v>
      </c>
      <c r="AU64" s="32">
        <f>L64</f>
        <v>0.65835</v>
      </c>
    </row>
    <row r="65" ht="12.75">
      <c r="D65" s="15" t="s">
        <v>176</v>
      </c>
    </row>
    <row r="66" spans="1:47" ht="12.75">
      <c r="A66" s="4" t="s">
        <v>38</v>
      </c>
      <c r="B66" s="4"/>
      <c r="C66" s="4" t="s">
        <v>95</v>
      </c>
      <c r="D66" s="4" t="s">
        <v>177</v>
      </c>
      <c r="E66" s="4" t="s">
        <v>209</v>
      </c>
      <c r="F66" s="18">
        <v>346.5</v>
      </c>
      <c r="G66" s="18">
        <v>0</v>
      </c>
      <c r="H66" s="18">
        <f aca="true" t="shared" si="0" ref="H66:H71">F66*AD66</f>
        <v>0</v>
      </c>
      <c r="I66" s="18">
        <f aca="true" t="shared" si="1" ref="I66:I71">J66-H66</f>
        <v>0</v>
      </c>
      <c r="J66" s="18">
        <f aca="true" t="shared" si="2" ref="J66:J71">F66*G66</f>
        <v>0</v>
      </c>
      <c r="K66" s="18">
        <v>0</v>
      </c>
      <c r="L66" s="18">
        <f aca="true" t="shared" si="3" ref="L66:L71">F66*K66</f>
        <v>0</v>
      </c>
      <c r="O66" s="32">
        <f aca="true" t="shared" si="4" ref="O66:O71">IF(AF66="5",J66,0)</f>
        <v>0</v>
      </c>
      <c r="Q66" s="32">
        <f aca="true" t="shared" si="5" ref="Q66:Q71">IF(AF66="1",H66,0)</f>
        <v>0</v>
      </c>
      <c r="R66" s="32">
        <f aca="true" t="shared" si="6" ref="R66:R71">IF(AF66="1",I66,0)</f>
        <v>0</v>
      </c>
      <c r="S66" s="32">
        <f aca="true" t="shared" si="7" ref="S66:S71">IF(AF66="7",H66,0)</f>
        <v>0</v>
      </c>
      <c r="T66" s="32">
        <f aca="true" t="shared" si="8" ref="T66:T71">IF(AF66="7",I66,0)</f>
        <v>0</v>
      </c>
      <c r="U66" s="32">
        <f aca="true" t="shared" si="9" ref="U66:U71">IF(AF66="2",H66,0)</f>
        <v>0</v>
      </c>
      <c r="V66" s="32">
        <f aca="true" t="shared" si="10" ref="V66:V71">IF(AF66="2",I66,0)</f>
        <v>0</v>
      </c>
      <c r="W66" s="32">
        <f aca="true" t="shared" si="11" ref="W66:W71">IF(AF66="0",J66,0)</f>
        <v>0</v>
      </c>
      <c r="X66" s="27"/>
      <c r="Y66" s="18">
        <f aca="true" t="shared" si="12" ref="Y66:Y71">IF(AC66=0,J66,0)</f>
        <v>0</v>
      </c>
      <c r="Z66" s="18">
        <f aca="true" t="shared" si="13" ref="Z66:Z71">IF(AC66=15,J66,0)</f>
        <v>0</v>
      </c>
      <c r="AA66" s="18">
        <f aca="true" t="shared" si="14" ref="AA66:AA71">IF(AC66=21,J66,0)</f>
        <v>0</v>
      </c>
      <c r="AC66" s="32">
        <v>15</v>
      </c>
      <c r="AD66" s="32">
        <f>G66*0</f>
        <v>0</v>
      </c>
      <c r="AE66" s="32">
        <f>G66*(1-0)</f>
        <v>0</v>
      </c>
      <c r="AF66" s="28" t="s">
        <v>7</v>
      </c>
      <c r="AL66" s="32">
        <f aca="true" t="shared" si="15" ref="AL66:AL71">F66*AD66</f>
        <v>0</v>
      </c>
      <c r="AM66" s="32">
        <f aca="true" t="shared" si="16" ref="AM66:AM71">F66*AE66</f>
        <v>0</v>
      </c>
      <c r="AN66" s="33" t="s">
        <v>247</v>
      </c>
      <c r="AO66" s="33" t="s">
        <v>259</v>
      </c>
      <c r="AP66" s="27" t="s">
        <v>260</v>
      </c>
      <c r="AR66" s="32">
        <f aca="true" t="shared" si="17" ref="AR66:AR71">AL66+AM66</f>
        <v>0</v>
      </c>
      <c r="AS66" s="32">
        <f aca="true" t="shared" si="18" ref="AS66:AS71">G66/(100-AT66)*100</f>
        <v>0</v>
      </c>
      <c r="AT66" s="32">
        <v>0</v>
      </c>
      <c r="AU66" s="32">
        <f aca="true" t="shared" si="19" ref="AU66:AU71">L66</f>
        <v>0</v>
      </c>
    </row>
    <row r="67" spans="1:47" ht="12.75">
      <c r="A67" s="4" t="s">
        <v>39</v>
      </c>
      <c r="B67" s="4"/>
      <c r="C67" s="4" t="s">
        <v>96</v>
      </c>
      <c r="D67" s="4" t="s">
        <v>178</v>
      </c>
      <c r="E67" s="4" t="s">
        <v>209</v>
      </c>
      <c r="F67" s="18">
        <v>346.5</v>
      </c>
      <c r="G67" s="18">
        <v>0</v>
      </c>
      <c r="H67" s="18">
        <f t="shared" si="0"/>
        <v>0</v>
      </c>
      <c r="I67" s="18">
        <f t="shared" si="1"/>
        <v>0</v>
      </c>
      <c r="J67" s="18">
        <f t="shared" si="2"/>
        <v>0</v>
      </c>
      <c r="K67" s="18">
        <v>0</v>
      </c>
      <c r="L67" s="18">
        <f t="shared" si="3"/>
        <v>0</v>
      </c>
      <c r="O67" s="32">
        <f t="shared" si="4"/>
        <v>0</v>
      </c>
      <c r="Q67" s="32">
        <f t="shared" si="5"/>
        <v>0</v>
      </c>
      <c r="R67" s="32">
        <f t="shared" si="6"/>
        <v>0</v>
      </c>
      <c r="S67" s="32">
        <f t="shared" si="7"/>
        <v>0</v>
      </c>
      <c r="T67" s="32">
        <f t="shared" si="8"/>
        <v>0</v>
      </c>
      <c r="U67" s="32">
        <f t="shared" si="9"/>
        <v>0</v>
      </c>
      <c r="V67" s="32">
        <f t="shared" si="10"/>
        <v>0</v>
      </c>
      <c r="W67" s="32">
        <f t="shared" si="11"/>
        <v>0</v>
      </c>
      <c r="X67" s="27"/>
      <c r="Y67" s="18">
        <f t="shared" si="12"/>
        <v>0</v>
      </c>
      <c r="Z67" s="18">
        <f t="shared" si="13"/>
        <v>0</v>
      </c>
      <c r="AA67" s="18">
        <f t="shared" si="14"/>
        <v>0</v>
      </c>
      <c r="AC67" s="32">
        <v>15</v>
      </c>
      <c r="AD67" s="32">
        <f>G67*0</f>
        <v>0</v>
      </c>
      <c r="AE67" s="32">
        <f>G67*(1-0)</f>
        <v>0</v>
      </c>
      <c r="AF67" s="28" t="s">
        <v>7</v>
      </c>
      <c r="AL67" s="32">
        <f t="shared" si="15"/>
        <v>0</v>
      </c>
      <c r="AM67" s="32">
        <f t="shared" si="16"/>
        <v>0</v>
      </c>
      <c r="AN67" s="33" t="s">
        <v>247</v>
      </c>
      <c r="AO67" s="33" t="s">
        <v>259</v>
      </c>
      <c r="AP67" s="27" t="s">
        <v>260</v>
      </c>
      <c r="AR67" s="32">
        <f t="shared" si="17"/>
        <v>0</v>
      </c>
      <c r="AS67" s="32">
        <f t="shared" si="18"/>
        <v>0</v>
      </c>
      <c r="AT67" s="32">
        <v>0</v>
      </c>
      <c r="AU67" s="32">
        <f t="shared" si="19"/>
        <v>0</v>
      </c>
    </row>
    <row r="68" spans="1:47" ht="12.75">
      <c r="A68" s="4" t="s">
        <v>40</v>
      </c>
      <c r="B68" s="4"/>
      <c r="C68" s="4" t="s">
        <v>97</v>
      </c>
      <c r="D68" s="4" t="s">
        <v>179</v>
      </c>
      <c r="E68" s="4" t="s">
        <v>209</v>
      </c>
      <c r="F68" s="18">
        <v>346.5</v>
      </c>
      <c r="G68" s="18">
        <v>0</v>
      </c>
      <c r="H68" s="18">
        <f t="shared" si="0"/>
        <v>0</v>
      </c>
      <c r="I68" s="18">
        <f t="shared" si="1"/>
        <v>0</v>
      </c>
      <c r="J68" s="18">
        <f t="shared" si="2"/>
        <v>0</v>
      </c>
      <c r="K68" s="18">
        <v>0</v>
      </c>
      <c r="L68" s="18">
        <f t="shared" si="3"/>
        <v>0</v>
      </c>
      <c r="O68" s="32">
        <f t="shared" si="4"/>
        <v>0</v>
      </c>
      <c r="Q68" s="32">
        <f t="shared" si="5"/>
        <v>0</v>
      </c>
      <c r="R68" s="32">
        <f t="shared" si="6"/>
        <v>0</v>
      </c>
      <c r="S68" s="32">
        <f t="shared" si="7"/>
        <v>0</v>
      </c>
      <c r="T68" s="32">
        <f t="shared" si="8"/>
        <v>0</v>
      </c>
      <c r="U68" s="32">
        <f t="shared" si="9"/>
        <v>0</v>
      </c>
      <c r="V68" s="32">
        <f t="shared" si="10"/>
        <v>0</v>
      </c>
      <c r="W68" s="32">
        <f t="shared" si="11"/>
        <v>0</v>
      </c>
      <c r="X68" s="27"/>
      <c r="Y68" s="18">
        <f t="shared" si="12"/>
        <v>0</v>
      </c>
      <c r="Z68" s="18">
        <f t="shared" si="13"/>
        <v>0</v>
      </c>
      <c r="AA68" s="18">
        <f t="shared" si="14"/>
        <v>0</v>
      </c>
      <c r="AC68" s="32">
        <v>15</v>
      </c>
      <c r="AD68" s="32">
        <f>G68*0</f>
        <v>0</v>
      </c>
      <c r="AE68" s="32">
        <f>G68*(1-0)</f>
        <v>0</v>
      </c>
      <c r="AF68" s="28" t="s">
        <v>7</v>
      </c>
      <c r="AL68" s="32">
        <f t="shared" si="15"/>
        <v>0</v>
      </c>
      <c r="AM68" s="32">
        <f t="shared" si="16"/>
        <v>0</v>
      </c>
      <c r="AN68" s="33" t="s">
        <v>247</v>
      </c>
      <c r="AO68" s="33" t="s">
        <v>259</v>
      </c>
      <c r="AP68" s="27" t="s">
        <v>260</v>
      </c>
      <c r="AR68" s="32">
        <f t="shared" si="17"/>
        <v>0</v>
      </c>
      <c r="AS68" s="32">
        <f t="shared" si="18"/>
        <v>0</v>
      </c>
      <c r="AT68" s="32">
        <v>0</v>
      </c>
      <c r="AU68" s="32">
        <f t="shared" si="19"/>
        <v>0</v>
      </c>
    </row>
    <row r="69" spans="1:47" ht="12.75">
      <c r="A69" s="4" t="s">
        <v>41</v>
      </c>
      <c r="B69" s="4"/>
      <c r="C69" s="4" t="s">
        <v>98</v>
      </c>
      <c r="D69" s="4" t="s">
        <v>180</v>
      </c>
      <c r="E69" s="4" t="s">
        <v>210</v>
      </c>
      <c r="F69" s="18">
        <v>23</v>
      </c>
      <c r="G69" s="18">
        <v>0</v>
      </c>
      <c r="H69" s="18">
        <f t="shared" si="0"/>
        <v>0</v>
      </c>
      <c r="I69" s="18">
        <f t="shared" si="1"/>
        <v>0</v>
      </c>
      <c r="J69" s="18">
        <f t="shared" si="2"/>
        <v>0</v>
      </c>
      <c r="K69" s="18">
        <v>0.02482</v>
      </c>
      <c r="L69" s="18">
        <f t="shared" si="3"/>
        <v>0.5708599999999999</v>
      </c>
      <c r="O69" s="32">
        <f t="shared" si="4"/>
        <v>0</v>
      </c>
      <c r="Q69" s="32">
        <f t="shared" si="5"/>
        <v>0</v>
      </c>
      <c r="R69" s="32">
        <f t="shared" si="6"/>
        <v>0</v>
      </c>
      <c r="S69" s="32">
        <f t="shared" si="7"/>
        <v>0</v>
      </c>
      <c r="T69" s="32">
        <f t="shared" si="8"/>
        <v>0</v>
      </c>
      <c r="U69" s="32">
        <f t="shared" si="9"/>
        <v>0</v>
      </c>
      <c r="V69" s="32">
        <f t="shared" si="10"/>
        <v>0</v>
      </c>
      <c r="W69" s="32">
        <f t="shared" si="11"/>
        <v>0</v>
      </c>
      <c r="X69" s="27"/>
      <c r="Y69" s="18">
        <f t="shared" si="12"/>
        <v>0</v>
      </c>
      <c r="Z69" s="18">
        <f t="shared" si="13"/>
        <v>0</v>
      </c>
      <c r="AA69" s="18">
        <f t="shared" si="14"/>
        <v>0</v>
      </c>
      <c r="AC69" s="32">
        <v>15</v>
      </c>
      <c r="AD69" s="32">
        <f>G69*0.420672782874618</f>
        <v>0</v>
      </c>
      <c r="AE69" s="32">
        <f>G69*(1-0.420672782874618)</f>
        <v>0</v>
      </c>
      <c r="AF69" s="28" t="s">
        <v>7</v>
      </c>
      <c r="AL69" s="32">
        <f t="shared" si="15"/>
        <v>0</v>
      </c>
      <c r="AM69" s="32">
        <f t="shared" si="16"/>
        <v>0</v>
      </c>
      <c r="AN69" s="33" t="s">
        <v>247</v>
      </c>
      <c r="AO69" s="33" t="s">
        <v>259</v>
      </c>
      <c r="AP69" s="27" t="s">
        <v>260</v>
      </c>
      <c r="AR69" s="32">
        <f t="shared" si="17"/>
        <v>0</v>
      </c>
      <c r="AS69" s="32">
        <f t="shared" si="18"/>
        <v>0</v>
      </c>
      <c r="AT69" s="32">
        <v>0</v>
      </c>
      <c r="AU69" s="32">
        <f t="shared" si="19"/>
        <v>0.5708599999999999</v>
      </c>
    </row>
    <row r="70" spans="1:47" ht="12.75">
      <c r="A70" s="4" t="s">
        <v>42</v>
      </c>
      <c r="B70" s="4"/>
      <c r="C70" s="4" t="s">
        <v>99</v>
      </c>
      <c r="D70" s="4" t="s">
        <v>181</v>
      </c>
      <c r="E70" s="4" t="s">
        <v>210</v>
      </c>
      <c r="F70" s="18">
        <v>46</v>
      </c>
      <c r="G70" s="18">
        <v>0</v>
      </c>
      <c r="H70" s="18">
        <f t="shared" si="0"/>
        <v>0</v>
      </c>
      <c r="I70" s="18">
        <f t="shared" si="1"/>
        <v>0</v>
      </c>
      <c r="J70" s="18">
        <f t="shared" si="2"/>
        <v>0</v>
      </c>
      <c r="K70" s="18">
        <v>0.00225</v>
      </c>
      <c r="L70" s="18">
        <f t="shared" si="3"/>
        <v>0.1035</v>
      </c>
      <c r="O70" s="32">
        <f t="shared" si="4"/>
        <v>0</v>
      </c>
      <c r="Q70" s="32">
        <f t="shared" si="5"/>
        <v>0</v>
      </c>
      <c r="R70" s="32">
        <f t="shared" si="6"/>
        <v>0</v>
      </c>
      <c r="S70" s="32">
        <f t="shared" si="7"/>
        <v>0</v>
      </c>
      <c r="T70" s="32">
        <f t="shared" si="8"/>
        <v>0</v>
      </c>
      <c r="U70" s="32">
        <f t="shared" si="9"/>
        <v>0</v>
      </c>
      <c r="V70" s="32">
        <f t="shared" si="10"/>
        <v>0</v>
      </c>
      <c r="W70" s="32">
        <f t="shared" si="11"/>
        <v>0</v>
      </c>
      <c r="X70" s="27"/>
      <c r="Y70" s="18">
        <f t="shared" si="12"/>
        <v>0</v>
      </c>
      <c r="Z70" s="18">
        <f t="shared" si="13"/>
        <v>0</v>
      </c>
      <c r="AA70" s="18">
        <f t="shared" si="14"/>
        <v>0</v>
      </c>
      <c r="AC70" s="32">
        <v>15</v>
      </c>
      <c r="AD70" s="32">
        <f>G70*0.924310776942356</f>
        <v>0</v>
      </c>
      <c r="AE70" s="32">
        <f>G70*(1-0.924310776942356)</f>
        <v>0</v>
      </c>
      <c r="AF70" s="28" t="s">
        <v>7</v>
      </c>
      <c r="AL70" s="32">
        <f t="shared" si="15"/>
        <v>0</v>
      </c>
      <c r="AM70" s="32">
        <f t="shared" si="16"/>
        <v>0</v>
      </c>
      <c r="AN70" s="33" t="s">
        <v>247</v>
      </c>
      <c r="AO70" s="33" t="s">
        <v>259</v>
      </c>
      <c r="AP70" s="27" t="s">
        <v>260</v>
      </c>
      <c r="AR70" s="32">
        <f t="shared" si="17"/>
        <v>0</v>
      </c>
      <c r="AS70" s="32">
        <f t="shared" si="18"/>
        <v>0</v>
      </c>
      <c r="AT70" s="32">
        <v>0</v>
      </c>
      <c r="AU70" s="32">
        <f t="shared" si="19"/>
        <v>0.1035</v>
      </c>
    </row>
    <row r="71" spans="1:47" ht="12.75">
      <c r="A71" s="4" t="s">
        <v>43</v>
      </c>
      <c r="B71" s="4"/>
      <c r="C71" s="4" t="s">
        <v>100</v>
      </c>
      <c r="D71" s="4" t="s">
        <v>182</v>
      </c>
      <c r="E71" s="4" t="s">
        <v>210</v>
      </c>
      <c r="F71" s="18">
        <v>23</v>
      </c>
      <c r="G71" s="18">
        <v>0</v>
      </c>
      <c r="H71" s="18">
        <f t="shared" si="0"/>
        <v>0</v>
      </c>
      <c r="I71" s="18">
        <f t="shared" si="1"/>
        <v>0</v>
      </c>
      <c r="J71" s="18">
        <f t="shared" si="2"/>
        <v>0</v>
      </c>
      <c r="K71" s="18">
        <v>0</v>
      </c>
      <c r="L71" s="18">
        <f t="shared" si="3"/>
        <v>0</v>
      </c>
      <c r="O71" s="32">
        <f t="shared" si="4"/>
        <v>0</v>
      </c>
      <c r="Q71" s="32">
        <f t="shared" si="5"/>
        <v>0</v>
      </c>
      <c r="R71" s="32">
        <f t="shared" si="6"/>
        <v>0</v>
      </c>
      <c r="S71" s="32">
        <f t="shared" si="7"/>
        <v>0</v>
      </c>
      <c r="T71" s="32">
        <f t="shared" si="8"/>
        <v>0</v>
      </c>
      <c r="U71" s="32">
        <f t="shared" si="9"/>
        <v>0</v>
      </c>
      <c r="V71" s="32">
        <f t="shared" si="10"/>
        <v>0</v>
      </c>
      <c r="W71" s="32">
        <f t="shared" si="11"/>
        <v>0</v>
      </c>
      <c r="X71" s="27"/>
      <c r="Y71" s="18">
        <f t="shared" si="12"/>
        <v>0</v>
      </c>
      <c r="Z71" s="18">
        <f t="shared" si="13"/>
        <v>0</v>
      </c>
      <c r="AA71" s="18">
        <f t="shared" si="14"/>
        <v>0</v>
      </c>
      <c r="AC71" s="32">
        <v>15</v>
      </c>
      <c r="AD71" s="32">
        <f>G71*0</f>
        <v>0</v>
      </c>
      <c r="AE71" s="32">
        <f>G71*(1-0)</f>
        <v>0</v>
      </c>
      <c r="AF71" s="28" t="s">
        <v>7</v>
      </c>
      <c r="AL71" s="32">
        <f t="shared" si="15"/>
        <v>0</v>
      </c>
      <c r="AM71" s="32">
        <f t="shared" si="16"/>
        <v>0</v>
      </c>
      <c r="AN71" s="33" t="s">
        <v>247</v>
      </c>
      <c r="AO71" s="33" t="s">
        <v>259</v>
      </c>
      <c r="AP71" s="27" t="s">
        <v>260</v>
      </c>
      <c r="AR71" s="32">
        <f t="shared" si="17"/>
        <v>0</v>
      </c>
      <c r="AS71" s="32">
        <f t="shared" si="18"/>
        <v>0</v>
      </c>
      <c r="AT71" s="32">
        <v>0</v>
      </c>
      <c r="AU71" s="32">
        <f t="shared" si="19"/>
        <v>0</v>
      </c>
    </row>
    <row r="72" spans="1:36" ht="12.75">
      <c r="A72" s="6"/>
      <c r="B72" s="13"/>
      <c r="C72" s="13" t="s">
        <v>101</v>
      </c>
      <c r="D72" s="116" t="s">
        <v>183</v>
      </c>
      <c r="E72" s="117"/>
      <c r="F72" s="117"/>
      <c r="G72" s="117"/>
      <c r="H72" s="35">
        <f>SUM(H73:H73)</f>
        <v>0</v>
      </c>
      <c r="I72" s="35">
        <f>SUM(I73:I73)</f>
        <v>0</v>
      </c>
      <c r="J72" s="35">
        <f>H72+I72</f>
        <v>0</v>
      </c>
      <c r="K72" s="27"/>
      <c r="L72" s="35">
        <f>SUM(L73:L73)</f>
        <v>16.8032</v>
      </c>
      <c r="X72" s="27"/>
      <c r="AH72" s="35">
        <f>SUM(Y73:Y73)</f>
        <v>0</v>
      </c>
      <c r="AI72" s="35">
        <f>SUM(Z73:Z73)</f>
        <v>0</v>
      </c>
      <c r="AJ72" s="35">
        <f>SUM(AA73:AA73)</f>
        <v>0</v>
      </c>
    </row>
    <row r="73" spans="1:47" ht="12.75">
      <c r="A73" s="4" t="s">
        <v>44</v>
      </c>
      <c r="B73" s="4"/>
      <c r="C73" s="4" t="s">
        <v>102</v>
      </c>
      <c r="D73" s="4" t="s">
        <v>184</v>
      </c>
      <c r="E73" s="4" t="s">
        <v>209</v>
      </c>
      <c r="F73" s="18">
        <v>284.8</v>
      </c>
      <c r="G73" s="18">
        <v>0</v>
      </c>
      <c r="H73" s="18">
        <f>F73*AD73</f>
        <v>0</v>
      </c>
      <c r="I73" s="18">
        <f>J73-H73</f>
        <v>0</v>
      </c>
      <c r="J73" s="18">
        <f>F73*G73</f>
        <v>0</v>
      </c>
      <c r="K73" s="18">
        <v>0.059</v>
      </c>
      <c r="L73" s="18">
        <f>F73*K73</f>
        <v>16.8032</v>
      </c>
      <c r="O73" s="32">
        <f>IF(AF73="5",J73,0)</f>
        <v>0</v>
      </c>
      <c r="Q73" s="32">
        <f>IF(AF73="1",H73,0)</f>
        <v>0</v>
      </c>
      <c r="R73" s="32">
        <f>IF(AF73="1",I73,0)</f>
        <v>0</v>
      </c>
      <c r="S73" s="32">
        <f>IF(AF73="7",H73,0)</f>
        <v>0</v>
      </c>
      <c r="T73" s="32">
        <f>IF(AF73="7",I73,0)</f>
        <v>0</v>
      </c>
      <c r="U73" s="32">
        <f>IF(AF73="2",H73,0)</f>
        <v>0</v>
      </c>
      <c r="V73" s="32">
        <f>IF(AF73="2",I73,0)</f>
        <v>0</v>
      </c>
      <c r="W73" s="32">
        <f>IF(AF73="0",J73,0)</f>
        <v>0</v>
      </c>
      <c r="X73" s="27"/>
      <c r="Y73" s="18">
        <f>IF(AC73=0,J73,0)</f>
        <v>0</v>
      </c>
      <c r="Z73" s="18">
        <f>IF(AC73=15,J73,0)</f>
        <v>0</v>
      </c>
      <c r="AA73" s="18">
        <f>IF(AC73=21,J73,0)</f>
        <v>0</v>
      </c>
      <c r="AC73" s="32">
        <v>15</v>
      </c>
      <c r="AD73" s="32">
        <f>G73*0</f>
        <v>0</v>
      </c>
      <c r="AE73" s="32">
        <f>G73*(1-0)</f>
        <v>0</v>
      </c>
      <c r="AF73" s="28" t="s">
        <v>7</v>
      </c>
      <c r="AL73" s="32">
        <f>F73*AD73</f>
        <v>0</v>
      </c>
      <c r="AM73" s="32">
        <f>F73*AE73</f>
        <v>0</v>
      </c>
      <c r="AN73" s="33" t="s">
        <v>248</v>
      </c>
      <c r="AO73" s="33" t="s">
        <v>259</v>
      </c>
      <c r="AP73" s="27" t="s">
        <v>260</v>
      </c>
      <c r="AR73" s="32">
        <f>AL73+AM73</f>
        <v>0</v>
      </c>
      <c r="AS73" s="32">
        <f>G73/(100-AT73)*100</f>
        <v>0</v>
      </c>
      <c r="AT73" s="32">
        <v>0</v>
      </c>
      <c r="AU73" s="32">
        <f>L73</f>
        <v>16.8032</v>
      </c>
    </row>
    <row r="74" ht="38.25">
      <c r="D74" s="15" t="s">
        <v>185</v>
      </c>
    </row>
    <row r="75" spans="1:36" ht="12.75">
      <c r="A75" s="6"/>
      <c r="B75" s="13"/>
      <c r="C75" s="13" t="s">
        <v>103</v>
      </c>
      <c r="D75" s="116" t="s">
        <v>186</v>
      </c>
      <c r="E75" s="117"/>
      <c r="F75" s="117"/>
      <c r="G75" s="117"/>
      <c r="H75" s="35">
        <f>SUM(H76:H76)</f>
        <v>0</v>
      </c>
      <c r="I75" s="35">
        <f>SUM(I76:I76)</f>
        <v>0</v>
      </c>
      <c r="J75" s="35">
        <f>H75+I75</f>
        <v>0</v>
      </c>
      <c r="K75" s="27"/>
      <c r="L75" s="35">
        <f>SUM(L76:L76)</f>
        <v>0</v>
      </c>
      <c r="X75" s="27"/>
      <c r="AH75" s="35">
        <f>SUM(Y76:Y76)</f>
        <v>0</v>
      </c>
      <c r="AI75" s="35">
        <f>SUM(Z76:Z76)</f>
        <v>0</v>
      </c>
      <c r="AJ75" s="35">
        <f>SUM(AA76:AA76)</f>
        <v>0</v>
      </c>
    </row>
    <row r="76" spans="1:47" ht="12.75">
      <c r="A76" s="4" t="s">
        <v>45</v>
      </c>
      <c r="B76" s="4"/>
      <c r="C76" s="4" t="s">
        <v>104</v>
      </c>
      <c r="D76" s="4" t="s">
        <v>187</v>
      </c>
      <c r="E76" s="4" t="s">
        <v>213</v>
      </c>
      <c r="F76" s="18">
        <v>3960</v>
      </c>
      <c r="G76" s="18">
        <v>0</v>
      </c>
      <c r="H76" s="18">
        <f>F76*AD76</f>
        <v>0</v>
      </c>
      <c r="I76" s="18">
        <f>J76-H76</f>
        <v>0</v>
      </c>
      <c r="J76" s="18">
        <f>F76*G76</f>
        <v>0</v>
      </c>
      <c r="K76" s="18">
        <v>0</v>
      </c>
      <c r="L76" s="18">
        <f>F76*K76</f>
        <v>0</v>
      </c>
      <c r="O76" s="32">
        <f>IF(AF76="5",J76,0)</f>
        <v>0</v>
      </c>
      <c r="Q76" s="32">
        <f>IF(AF76="1",H76,0)</f>
        <v>0</v>
      </c>
      <c r="R76" s="32">
        <f>IF(AF76="1",I76,0)</f>
        <v>0</v>
      </c>
      <c r="S76" s="32">
        <f>IF(AF76="7",H76,0)</f>
        <v>0</v>
      </c>
      <c r="T76" s="32">
        <f>IF(AF76="7",I76,0)</f>
        <v>0</v>
      </c>
      <c r="U76" s="32">
        <f>IF(AF76="2",H76,0)</f>
        <v>0</v>
      </c>
      <c r="V76" s="32">
        <f>IF(AF76="2",I76,0)</f>
        <v>0</v>
      </c>
      <c r="W76" s="32">
        <f>IF(AF76="0",J76,0)</f>
        <v>0</v>
      </c>
      <c r="X76" s="27"/>
      <c r="Y76" s="18">
        <f>IF(AC76=0,J76,0)</f>
        <v>0</v>
      </c>
      <c r="Z76" s="18">
        <f>IF(AC76=15,J76,0)</f>
        <v>0</v>
      </c>
      <c r="AA76" s="18">
        <f>IF(AC76=21,J76,0)</f>
        <v>0</v>
      </c>
      <c r="AC76" s="32">
        <v>15</v>
      </c>
      <c r="AD76" s="32">
        <f>G76*0</f>
        <v>0</v>
      </c>
      <c r="AE76" s="32">
        <f>G76*(1-0)</f>
        <v>0</v>
      </c>
      <c r="AF76" s="28" t="s">
        <v>7</v>
      </c>
      <c r="AL76" s="32">
        <f>F76*AD76</f>
        <v>0</v>
      </c>
      <c r="AM76" s="32">
        <f>F76*AE76</f>
        <v>0</v>
      </c>
      <c r="AN76" s="33" t="s">
        <v>249</v>
      </c>
      <c r="AO76" s="33" t="s">
        <v>259</v>
      </c>
      <c r="AP76" s="27" t="s">
        <v>260</v>
      </c>
      <c r="AR76" s="32">
        <f>AL76+AM76</f>
        <v>0</v>
      </c>
      <c r="AS76" s="32">
        <f>G76/(100-AT76)*100</f>
        <v>0</v>
      </c>
      <c r="AT76" s="32">
        <v>0</v>
      </c>
      <c r="AU76" s="32">
        <f>L76</f>
        <v>0</v>
      </c>
    </row>
    <row r="77" spans="1:36" ht="12.75">
      <c r="A77" s="6"/>
      <c r="B77" s="13"/>
      <c r="C77" s="13" t="s">
        <v>105</v>
      </c>
      <c r="D77" s="116" t="s">
        <v>188</v>
      </c>
      <c r="E77" s="117"/>
      <c r="F77" s="117"/>
      <c r="G77" s="117"/>
      <c r="H77" s="35">
        <f>SUM(H78:H78)</f>
        <v>0</v>
      </c>
      <c r="I77" s="35">
        <f>SUM(I78:I78)</f>
        <v>0</v>
      </c>
      <c r="J77" s="35">
        <f>H77+I77</f>
        <v>0</v>
      </c>
      <c r="K77" s="27"/>
      <c r="L77" s="35">
        <f>SUM(L78:L78)</f>
        <v>0</v>
      </c>
      <c r="X77" s="27"/>
      <c r="AH77" s="35">
        <f>SUM(Y78:Y78)</f>
        <v>0</v>
      </c>
      <c r="AI77" s="35">
        <f>SUM(Z78:Z78)</f>
        <v>0</v>
      </c>
      <c r="AJ77" s="35">
        <f>SUM(AA78:AA78)</f>
        <v>0</v>
      </c>
    </row>
    <row r="78" spans="1:47" ht="12.75">
      <c r="A78" s="4" t="s">
        <v>46</v>
      </c>
      <c r="B78" s="4"/>
      <c r="C78" s="4" t="s">
        <v>106</v>
      </c>
      <c r="D78" s="4" t="s">
        <v>189</v>
      </c>
      <c r="E78" s="4" t="s">
        <v>214</v>
      </c>
      <c r="F78" s="18">
        <v>72.708</v>
      </c>
      <c r="G78" s="18">
        <v>0</v>
      </c>
      <c r="H78" s="18">
        <f>F78*AD78</f>
        <v>0</v>
      </c>
      <c r="I78" s="18">
        <f>J78-H78</f>
        <v>0</v>
      </c>
      <c r="J78" s="18">
        <f>F78*G78</f>
        <v>0</v>
      </c>
      <c r="K78" s="18">
        <v>0</v>
      </c>
      <c r="L78" s="18">
        <f>F78*K78</f>
        <v>0</v>
      </c>
      <c r="O78" s="32">
        <f>IF(AF78="5",J78,0)</f>
        <v>0</v>
      </c>
      <c r="Q78" s="32">
        <f>IF(AF78="1",H78,0)</f>
        <v>0</v>
      </c>
      <c r="R78" s="32">
        <f>IF(AF78="1",I78,0)</f>
        <v>0</v>
      </c>
      <c r="S78" s="32">
        <f>IF(AF78="7",H78,0)</f>
        <v>0</v>
      </c>
      <c r="T78" s="32">
        <f>IF(AF78="7",I78,0)</f>
        <v>0</v>
      </c>
      <c r="U78" s="32">
        <f>IF(AF78="2",H78,0)</f>
        <v>0</v>
      </c>
      <c r="V78" s="32">
        <f>IF(AF78="2",I78,0)</f>
        <v>0</v>
      </c>
      <c r="W78" s="32">
        <f>IF(AF78="0",J78,0)</f>
        <v>0</v>
      </c>
      <c r="X78" s="27"/>
      <c r="Y78" s="18">
        <f>IF(AC78=0,J78,0)</f>
        <v>0</v>
      </c>
      <c r="Z78" s="18">
        <f>IF(AC78=15,J78,0)</f>
        <v>0</v>
      </c>
      <c r="AA78" s="18">
        <f>IF(AC78=21,J78,0)</f>
        <v>0</v>
      </c>
      <c r="AC78" s="32">
        <v>15</v>
      </c>
      <c r="AD78" s="32">
        <f>G78*0</f>
        <v>0</v>
      </c>
      <c r="AE78" s="32">
        <f>G78*(1-0)</f>
        <v>0</v>
      </c>
      <c r="AF78" s="28" t="s">
        <v>11</v>
      </c>
      <c r="AL78" s="32">
        <f>F78*AD78</f>
        <v>0</v>
      </c>
      <c r="AM78" s="32">
        <f>F78*AE78</f>
        <v>0</v>
      </c>
      <c r="AN78" s="33" t="s">
        <v>250</v>
      </c>
      <c r="AO78" s="33" t="s">
        <v>259</v>
      </c>
      <c r="AP78" s="27" t="s">
        <v>260</v>
      </c>
      <c r="AR78" s="32">
        <f>AL78+AM78</f>
        <v>0</v>
      </c>
      <c r="AS78" s="32">
        <f>G78/(100-AT78)*100</f>
        <v>0</v>
      </c>
      <c r="AT78" s="32">
        <v>0</v>
      </c>
      <c r="AU78" s="32">
        <f>L78</f>
        <v>0</v>
      </c>
    </row>
    <row r="79" spans="1:36" ht="12.75">
      <c r="A79" s="6"/>
      <c r="B79" s="13"/>
      <c r="C79" s="13" t="s">
        <v>107</v>
      </c>
      <c r="D79" s="116" t="s">
        <v>190</v>
      </c>
      <c r="E79" s="117"/>
      <c r="F79" s="117"/>
      <c r="G79" s="117"/>
      <c r="H79" s="35">
        <f>SUM(H80:H80)</f>
        <v>0</v>
      </c>
      <c r="I79" s="35">
        <f>SUM(I80:I80)</f>
        <v>0</v>
      </c>
      <c r="J79" s="35">
        <f>H79+I79</f>
        <v>0</v>
      </c>
      <c r="K79" s="27"/>
      <c r="L79" s="35">
        <f>SUM(L80:L80)</f>
        <v>0</v>
      </c>
      <c r="X79" s="27"/>
      <c r="AH79" s="35">
        <f>SUM(Y80:Y80)</f>
        <v>0</v>
      </c>
      <c r="AI79" s="35">
        <f>SUM(Z80:Z80)</f>
        <v>0</v>
      </c>
      <c r="AJ79" s="35">
        <f>SUM(AA80:AA80)</f>
        <v>0</v>
      </c>
    </row>
    <row r="80" spans="1:47" ht="12.75">
      <c r="A80" s="4" t="s">
        <v>47</v>
      </c>
      <c r="B80" s="4"/>
      <c r="C80" s="4" t="s">
        <v>108</v>
      </c>
      <c r="D80" s="4" t="s">
        <v>191</v>
      </c>
      <c r="E80" s="4" t="s">
        <v>215</v>
      </c>
      <c r="F80" s="18">
        <v>363.68</v>
      </c>
      <c r="G80" s="18">
        <v>0</v>
      </c>
      <c r="H80" s="18">
        <f>F80*AD80</f>
        <v>0</v>
      </c>
      <c r="I80" s="18">
        <f>J80-H80</f>
        <v>0</v>
      </c>
      <c r="J80" s="18">
        <f>F80*G80</f>
        <v>0</v>
      </c>
      <c r="K80" s="18">
        <v>0</v>
      </c>
      <c r="L80" s="18">
        <f>F80*K80</f>
        <v>0</v>
      </c>
      <c r="O80" s="32">
        <f>IF(AF80="5",J80,0)</f>
        <v>0</v>
      </c>
      <c r="Q80" s="32">
        <f>IF(AF80="1",H80,0)</f>
        <v>0</v>
      </c>
      <c r="R80" s="32">
        <f>IF(AF80="1",I80,0)</f>
        <v>0</v>
      </c>
      <c r="S80" s="32">
        <f>IF(AF80="7",H80,0)</f>
        <v>0</v>
      </c>
      <c r="T80" s="32">
        <f>IF(AF80="7",I80,0)</f>
        <v>0</v>
      </c>
      <c r="U80" s="32">
        <f>IF(AF80="2",H80,0)</f>
        <v>0</v>
      </c>
      <c r="V80" s="32">
        <f>IF(AF80="2",I80,0)</f>
        <v>0</v>
      </c>
      <c r="W80" s="32">
        <f>IF(AF80="0",J80,0)</f>
        <v>0</v>
      </c>
      <c r="X80" s="27"/>
      <c r="Y80" s="18">
        <f>IF(AC80=0,J80,0)</f>
        <v>0</v>
      </c>
      <c r="Z80" s="18">
        <f>IF(AC80=15,J80,0)</f>
        <v>0</v>
      </c>
      <c r="AA80" s="18">
        <f>IF(AC80=21,J80,0)</f>
        <v>0</v>
      </c>
      <c r="AC80" s="32">
        <v>15</v>
      </c>
      <c r="AD80" s="32">
        <f>G80*0</f>
        <v>0</v>
      </c>
      <c r="AE80" s="32">
        <f>G80*(1-0)</f>
        <v>0</v>
      </c>
      <c r="AF80" s="28" t="s">
        <v>11</v>
      </c>
      <c r="AL80" s="32">
        <f>F80*AD80</f>
        <v>0</v>
      </c>
      <c r="AM80" s="32">
        <f>F80*AE80</f>
        <v>0</v>
      </c>
      <c r="AN80" s="33" t="s">
        <v>251</v>
      </c>
      <c r="AO80" s="33" t="s">
        <v>259</v>
      </c>
      <c r="AP80" s="27" t="s">
        <v>260</v>
      </c>
      <c r="AR80" s="32">
        <f>AL80+AM80</f>
        <v>0</v>
      </c>
      <c r="AS80" s="32">
        <f>G80/(100-AT80)*100</f>
        <v>0</v>
      </c>
      <c r="AT80" s="32">
        <v>0</v>
      </c>
      <c r="AU80" s="32">
        <f>L80</f>
        <v>0</v>
      </c>
    </row>
    <row r="81" spans="1:36" ht="12.75">
      <c r="A81" s="6"/>
      <c r="B81" s="13"/>
      <c r="C81" s="13" t="s">
        <v>109</v>
      </c>
      <c r="D81" s="116" t="s">
        <v>192</v>
      </c>
      <c r="E81" s="117"/>
      <c r="F81" s="117"/>
      <c r="G81" s="117"/>
      <c r="H81" s="35">
        <f>SUM(H82:H82)</f>
        <v>0</v>
      </c>
      <c r="I81" s="35">
        <f>SUM(I82:I82)</f>
        <v>0</v>
      </c>
      <c r="J81" s="35">
        <f>H81+I81</f>
        <v>0</v>
      </c>
      <c r="K81" s="27"/>
      <c r="L81" s="35">
        <f>SUM(L82:L82)</f>
        <v>0</v>
      </c>
      <c r="X81" s="27"/>
      <c r="AH81" s="35">
        <f>SUM(Y82:Y82)</f>
        <v>0</v>
      </c>
      <c r="AI81" s="35">
        <f>SUM(Z82:Z82)</f>
        <v>0</v>
      </c>
      <c r="AJ81" s="35">
        <f>SUM(AA82:AA82)</f>
        <v>0</v>
      </c>
    </row>
    <row r="82" spans="1:47" ht="12.75">
      <c r="A82" s="4" t="s">
        <v>48</v>
      </c>
      <c r="B82" s="4"/>
      <c r="C82" s="4" t="s">
        <v>110</v>
      </c>
      <c r="D82" s="4" t="s">
        <v>193</v>
      </c>
      <c r="E82" s="4" t="s">
        <v>215</v>
      </c>
      <c r="F82" s="18">
        <v>49.78</v>
      </c>
      <c r="G82" s="18">
        <v>0</v>
      </c>
      <c r="H82" s="18">
        <f>F82*AD82</f>
        <v>0</v>
      </c>
      <c r="I82" s="18">
        <f>J82-H82</f>
        <v>0</v>
      </c>
      <c r="J82" s="18">
        <f>F82*G82</f>
        <v>0</v>
      </c>
      <c r="K82" s="18">
        <v>0</v>
      </c>
      <c r="L82" s="18">
        <f>F82*K82</f>
        <v>0</v>
      </c>
      <c r="O82" s="32">
        <f>IF(AF82="5",J82,0)</f>
        <v>0</v>
      </c>
      <c r="Q82" s="32">
        <f>IF(AF82="1",H82,0)</f>
        <v>0</v>
      </c>
      <c r="R82" s="32">
        <f>IF(AF82="1",I82,0)</f>
        <v>0</v>
      </c>
      <c r="S82" s="32">
        <f>IF(AF82="7",H82,0)</f>
        <v>0</v>
      </c>
      <c r="T82" s="32">
        <f>IF(AF82="7",I82,0)</f>
        <v>0</v>
      </c>
      <c r="U82" s="32">
        <f>IF(AF82="2",H82,0)</f>
        <v>0</v>
      </c>
      <c r="V82" s="32">
        <f>IF(AF82="2",I82,0)</f>
        <v>0</v>
      </c>
      <c r="W82" s="32">
        <f>IF(AF82="0",J82,0)</f>
        <v>0</v>
      </c>
      <c r="X82" s="27"/>
      <c r="Y82" s="18">
        <f>IF(AC82=0,J82,0)</f>
        <v>0</v>
      </c>
      <c r="Z82" s="18">
        <f>IF(AC82=15,J82,0)</f>
        <v>0</v>
      </c>
      <c r="AA82" s="18">
        <f>IF(AC82=21,J82,0)</f>
        <v>0</v>
      </c>
      <c r="AC82" s="32">
        <v>15</v>
      </c>
      <c r="AD82" s="32">
        <f>G82*0</f>
        <v>0</v>
      </c>
      <c r="AE82" s="32">
        <f>G82*(1-0)</f>
        <v>0</v>
      </c>
      <c r="AF82" s="28" t="s">
        <v>11</v>
      </c>
      <c r="AL82" s="32">
        <f>F82*AD82</f>
        <v>0</v>
      </c>
      <c r="AM82" s="32">
        <f>F82*AE82</f>
        <v>0</v>
      </c>
      <c r="AN82" s="33" t="s">
        <v>252</v>
      </c>
      <c r="AO82" s="33" t="s">
        <v>259</v>
      </c>
      <c r="AP82" s="27" t="s">
        <v>260</v>
      </c>
      <c r="AR82" s="32">
        <f>AL82+AM82</f>
        <v>0</v>
      </c>
      <c r="AS82" s="32">
        <f>G82/(100-AT82)*100</f>
        <v>0</v>
      </c>
      <c r="AT82" s="32">
        <v>0</v>
      </c>
      <c r="AU82" s="32">
        <f>L82</f>
        <v>0</v>
      </c>
    </row>
    <row r="83" spans="1:36" ht="12.75">
      <c r="A83" s="6"/>
      <c r="B83" s="13"/>
      <c r="C83" s="13" t="s">
        <v>111</v>
      </c>
      <c r="D83" s="116" t="s">
        <v>194</v>
      </c>
      <c r="E83" s="117"/>
      <c r="F83" s="117"/>
      <c r="G83" s="117"/>
      <c r="H83" s="35">
        <f>SUM(H84:H84)</f>
        <v>0</v>
      </c>
      <c r="I83" s="35">
        <f>SUM(I84:I84)</f>
        <v>0</v>
      </c>
      <c r="J83" s="35">
        <f>H83+I83</f>
        <v>0</v>
      </c>
      <c r="K83" s="27"/>
      <c r="L83" s="35">
        <f>SUM(L84:L84)</f>
        <v>0</v>
      </c>
      <c r="X83" s="27"/>
      <c r="AH83" s="35">
        <f>SUM(Y84:Y84)</f>
        <v>0</v>
      </c>
      <c r="AI83" s="35">
        <f>SUM(Z84:Z84)</f>
        <v>0</v>
      </c>
      <c r="AJ83" s="35">
        <f>SUM(AA84:AA84)</f>
        <v>0</v>
      </c>
    </row>
    <row r="84" spans="1:47" ht="12.75">
      <c r="A84" s="4" t="s">
        <v>49</v>
      </c>
      <c r="B84" s="4"/>
      <c r="C84" s="4" t="s">
        <v>112</v>
      </c>
      <c r="D84" s="4" t="s">
        <v>195</v>
      </c>
      <c r="E84" s="4" t="s">
        <v>215</v>
      </c>
      <c r="F84" s="18">
        <v>99</v>
      </c>
      <c r="G84" s="18">
        <v>0</v>
      </c>
      <c r="H84" s="18">
        <f>F84*AD84</f>
        <v>0</v>
      </c>
      <c r="I84" s="18">
        <f>J84-H84</f>
        <v>0</v>
      </c>
      <c r="J84" s="18">
        <f>F84*G84</f>
        <v>0</v>
      </c>
      <c r="K84" s="18">
        <v>0</v>
      </c>
      <c r="L84" s="18">
        <f>F84*K84</f>
        <v>0</v>
      </c>
      <c r="O84" s="32">
        <f>IF(AF84="5",J84,0)</f>
        <v>0</v>
      </c>
      <c r="Q84" s="32">
        <f>IF(AF84="1",H84,0)</f>
        <v>0</v>
      </c>
      <c r="R84" s="32">
        <f>IF(AF84="1",I84,0)</f>
        <v>0</v>
      </c>
      <c r="S84" s="32">
        <f>IF(AF84="7",H84,0)</f>
        <v>0</v>
      </c>
      <c r="T84" s="32">
        <f>IF(AF84="7",I84,0)</f>
        <v>0</v>
      </c>
      <c r="U84" s="32">
        <f>IF(AF84="2",H84,0)</f>
        <v>0</v>
      </c>
      <c r="V84" s="32">
        <f>IF(AF84="2",I84,0)</f>
        <v>0</v>
      </c>
      <c r="W84" s="32">
        <f>IF(AF84="0",J84,0)</f>
        <v>0</v>
      </c>
      <c r="X84" s="27"/>
      <c r="Y84" s="18">
        <f>IF(AC84=0,J84,0)</f>
        <v>0</v>
      </c>
      <c r="Z84" s="18">
        <f>IF(AC84=15,J84,0)</f>
        <v>0</v>
      </c>
      <c r="AA84" s="18">
        <f>IF(AC84=21,J84,0)</f>
        <v>0</v>
      </c>
      <c r="AC84" s="32">
        <v>15</v>
      </c>
      <c r="AD84" s="32">
        <f>G84*0</f>
        <v>0</v>
      </c>
      <c r="AE84" s="32">
        <f>G84*(1-0)</f>
        <v>0</v>
      </c>
      <c r="AF84" s="28" t="s">
        <v>11</v>
      </c>
      <c r="AL84" s="32">
        <f>F84*AD84</f>
        <v>0</v>
      </c>
      <c r="AM84" s="32">
        <f>F84*AE84</f>
        <v>0</v>
      </c>
      <c r="AN84" s="33" t="s">
        <v>253</v>
      </c>
      <c r="AO84" s="33" t="s">
        <v>259</v>
      </c>
      <c r="AP84" s="27" t="s">
        <v>260</v>
      </c>
      <c r="AR84" s="32">
        <f>AL84+AM84</f>
        <v>0</v>
      </c>
      <c r="AS84" s="32">
        <f>G84/(100-AT84)*100</f>
        <v>0</v>
      </c>
      <c r="AT84" s="32">
        <v>0</v>
      </c>
      <c r="AU84" s="32">
        <f>L84</f>
        <v>0</v>
      </c>
    </row>
    <row r="85" spans="1:36" ht="12.75">
      <c r="A85" s="6"/>
      <c r="B85" s="13"/>
      <c r="C85" s="13" t="s">
        <v>113</v>
      </c>
      <c r="D85" s="116" t="s">
        <v>196</v>
      </c>
      <c r="E85" s="117"/>
      <c r="F85" s="117"/>
      <c r="G85" s="117"/>
      <c r="H85" s="35">
        <f>SUM(H86:H92)</f>
        <v>0</v>
      </c>
      <c r="I85" s="35">
        <f>SUM(I86:I92)</f>
        <v>0</v>
      </c>
      <c r="J85" s="35">
        <f>H85+I85</f>
        <v>0</v>
      </c>
      <c r="K85" s="27"/>
      <c r="L85" s="35">
        <f>SUM(L86:L92)</f>
        <v>0</v>
      </c>
      <c r="X85" s="27"/>
      <c r="AH85" s="35">
        <f>SUM(Y86:Y92)</f>
        <v>0</v>
      </c>
      <c r="AI85" s="35">
        <f>SUM(Z86:Z92)</f>
        <v>0</v>
      </c>
      <c r="AJ85" s="35">
        <f>SUM(AA86:AA92)</f>
        <v>0</v>
      </c>
    </row>
    <row r="86" spans="1:47" ht="12.75">
      <c r="A86" s="4" t="s">
        <v>50</v>
      </c>
      <c r="B86" s="4"/>
      <c r="C86" s="4" t="s">
        <v>114</v>
      </c>
      <c r="D86" s="4" t="s">
        <v>197</v>
      </c>
      <c r="E86" s="4" t="s">
        <v>214</v>
      </c>
      <c r="F86" s="18">
        <v>16.8</v>
      </c>
      <c r="G86" s="18">
        <v>0</v>
      </c>
      <c r="H86" s="18">
        <f>F86*AD86</f>
        <v>0</v>
      </c>
      <c r="I86" s="18">
        <f>J86-H86</f>
        <v>0</v>
      </c>
      <c r="J86" s="18">
        <f>F86*G86</f>
        <v>0</v>
      </c>
      <c r="K86" s="18">
        <v>0</v>
      </c>
      <c r="L86" s="18">
        <f>F86*K86</f>
        <v>0</v>
      </c>
      <c r="O86" s="32">
        <f>IF(AF86="5",J86,0)</f>
        <v>0</v>
      </c>
      <c r="Q86" s="32">
        <f>IF(AF86="1",H86,0)</f>
        <v>0</v>
      </c>
      <c r="R86" s="32">
        <f>IF(AF86="1",I86,0)</f>
        <v>0</v>
      </c>
      <c r="S86" s="32">
        <f>IF(AF86="7",H86,0)</f>
        <v>0</v>
      </c>
      <c r="T86" s="32">
        <f>IF(AF86="7",I86,0)</f>
        <v>0</v>
      </c>
      <c r="U86" s="32">
        <f>IF(AF86="2",H86,0)</f>
        <v>0</v>
      </c>
      <c r="V86" s="32">
        <f>IF(AF86="2",I86,0)</f>
        <v>0</v>
      </c>
      <c r="W86" s="32">
        <f>IF(AF86="0",J86,0)</f>
        <v>0</v>
      </c>
      <c r="X86" s="27"/>
      <c r="Y86" s="18">
        <f>IF(AC86=0,J86,0)</f>
        <v>0</v>
      </c>
      <c r="Z86" s="18">
        <f>IF(AC86=15,J86,0)</f>
        <v>0</v>
      </c>
      <c r="AA86" s="18">
        <f>IF(AC86=21,J86,0)</f>
        <v>0</v>
      </c>
      <c r="AC86" s="32">
        <v>15</v>
      </c>
      <c r="AD86" s="32">
        <f>G86*0</f>
        <v>0</v>
      </c>
      <c r="AE86" s="32">
        <f>G86*(1-0)</f>
        <v>0</v>
      </c>
      <c r="AF86" s="28" t="s">
        <v>11</v>
      </c>
      <c r="AL86" s="32">
        <f>F86*AD86</f>
        <v>0</v>
      </c>
      <c r="AM86" s="32">
        <f>F86*AE86</f>
        <v>0</v>
      </c>
      <c r="AN86" s="33" t="s">
        <v>254</v>
      </c>
      <c r="AO86" s="33" t="s">
        <v>259</v>
      </c>
      <c r="AP86" s="27" t="s">
        <v>260</v>
      </c>
      <c r="AR86" s="32">
        <f>AL86+AM86</f>
        <v>0</v>
      </c>
      <c r="AS86" s="32">
        <f>G86/(100-AT86)*100</f>
        <v>0</v>
      </c>
      <c r="AT86" s="32">
        <v>0</v>
      </c>
      <c r="AU86" s="32">
        <f>L86</f>
        <v>0</v>
      </c>
    </row>
    <row r="87" spans="1:47" ht="12.75">
      <c r="A87" s="4" t="s">
        <v>51</v>
      </c>
      <c r="B87" s="4"/>
      <c r="C87" s="4" t="s">
        <v>115</v>
      </c>
      <c r="D87" s="4" t="s">
        <v>198</v>
      </c>
      <c r="E87" s="4" t="s">
        <v>214</v>
      </c>
      <c r="F87" s="18">
        <v>16.8</v>
      </c>
      <c r="G87" s="18">
        <v>0</v>
      </c>
      <c r="H87" s="18">
        <f>F87*AD87</f>
        <v>0</v>
      </c>
      <c r="I87" s="18">
        <f>J87-H87</f>
        <v>0</v>
      </c>
      <c r="J87" s="18">
        <f>F87*G87</f>
        <v>0</v>
      </c>
      <c r="K87" s="18">
        <v>0</v>
      </c>
      <c r="L87" s="18">
        <f>F87*K87</f>
        <v>0</v>
      </c>
      <c r="O87" s="32">
        <f>IF(AF87="5",J87,0)</f>
        <v>0</v>
      </c>
      <c r="Q87" s="32">
        <f>IF(AF87="1",H87,0)</f>
        <v>0</v>
      </c>
      <c r="R87" s="32">
        <f>IF(AF87="1",I87,0)</f>
        <v>0</v>
      </c>
      <c r="S87" s="32">
        <f>IF(AF87="7",H87,0)</f>
        <v>0</v>
      </c>
      <c r="T87" s="32">
        <f>IF(AF87="7",I87,0)</f>
        <v>0</v>
      </c>
      <c r="U87" s="32">
        <f>IF(AF87="2",H87,0)</f>
        <v>0</v>
      </c>
      <c r="V87" s="32">
        <f>IF(AF87="2",I87,0)</f>
        <v>0</v>
      </c>
      <c r="W87" s="32">
        <f>IF(AF87="0",J87,0)</f>
        <v>0</v>
      </c>
      <c r="X87" s="27"/>
      <c r="Y87" s="18">
        <f>IF(AC87=0,J87,0)</f>
        <v>0</v>
      </c>
      <c r="Z87" s="18">
        <f>IF(AC87=15,J87,0)</f>
        <v>0</v>
      </c>
      <c r="AA87" s="18">
        <f>IF(AC87=21,J87,0)</f>
        <v>0</v>
      </c>
      <c r="AC87" s="32">
        <v>15</v>
      </c>
      <c r="AD87" s="32">
        <f>G87*0</f>
        <v>0</v>
      </c>
      <c r="AE87" s="32">
        <f>G87*(1-0)</f>
        <v>0</v>
      </c>
      <c r="AF87" s="28" t="s">
        <v>11</v>
      </c>
      <c r="AL87" s="32">
        <f>F87*AD87</f>
        <v>0</v>
      </c>
      <c r="AM87" s="32">
        <f>F87*AE87</f>
        <v>0</v>
      </c>
      <c r="AN87" s="33" t="s">
        <v>254</v>
      </c>
      <c r="AO87" s="33" t="s">
        <v>259</v>
      </c>
      <c r="AP87" s="27" t="s">
        <v>260</v>
      </c>
      <c r="AR87" s="32">
        <f>AL87+AM87</f>
        <v>0</v>
      </c>
      <c r="AS87" s="32">
        <f>G87/(100-AT87)*100</f>
        <v>0</v>
      </c>
      <c r="AT87" s="32">
        <v>0</v>
      </c>
      <c r="AU87" s="32">
        <f>L87</f>
        <v>0</v>
      </c>
    </row>
    <row r="88" spans="1:47" ht="12.75">
      <c r="A88" s="4" t="s">
        <v>52</v>
      </c>
      <c r="B88" s="4"/>
      <c r="C88" s="4" t="s">
        <v>116</v>
      </c>
      <c r="D88" s="4" t="s">
        <v>199</v>
      </c>
      <c r="E88" s="4" t="s">
        <v>214</v>
      </c>
      <c r="F88" s="18">
        <v>16.8</v>
      </c>
      <c r="G88" s="18">
        <v>0</v>
      </c>
      <c r="H88" s="18">
        <f>F88*AD88</f>
        <v>0</v>
      </c>
      <c r="I88" s="18">
        <f>J88-H88</f>
        <v>0</v>
      </c>
      <c r="J88" s="18">
        <f>F88*G88</f>
        <v>0</v>
      </c>
      <c r="K88" s="18">
        <v>0</v>
      </c>
      <c r="L88" s="18">
        <f>F88*K88</f>
        <v>0</v>
      </c>
      <c r="O88" s="32">
        <f>IF(AF88="5",J88,0)</f>
        <v>0</v>
      </c>
      <c r="Q88" s="32">
        <f>IF(AF88="1",H88,0)</f>
        <v>0</v>
      </c>
      <c r="R88" s="32">
        <f>IF(AF88="1",I88,0)</f>
        <v>0</v>
      </c>
      <c r="S88" s="32">
        <f>IF(AF88="7",H88,0)</f>
        <v>0</v>
      </c>
      <c r="T88" s="32">
        <f>IF(AF88="7",I88,0)</f>
        <v>0</v>
      </c>
      <c r="U88" s="32">
        <f>IF(AF88="2",H88,0)</f>
        <v>0</v>
      </c>
      <c r="V88" s="32">
        <f>IF(AF88="2",I88,0)</f>
        <v>0</v>
      </c>
      <c r="W88" s="32">
        <f>IF(AF88="0",J88,0)</f>
        <v>0</v>
      </c>
      <c r="X88" s="27"/>
      <c r="Y88" s="18">
        <f>IF(AC88=0,J88,0)</f>
        <v>0</v>
      </c>
      <c r="Z88" s="18">
        <f>IF(AC88=15,J88,0)</f>
        <v>0</v>
      </c>
      <c r="AA88" s="18">
        <f>IF(AC88=21,J88,0)</f>
        <v>0</v>
      </c>
      <c r="AC88" s="32">
        <v>15</v>
      </c>
      <c r="AD88" s="32">
        <f>G88*0.00936537667862472</f>
        <v>0</v>
      </c>
      <c r="AE88" s="32">
        <f>G88*(1-0.00936537667862472)</f>
        <v>0</v>
      </c>
      <c r="AF88" s="28" t="s">
        <v>11</v>
      </c>
      <c r="AL88" s="32">
        <f>F88*AD88</f>
        <v>0</v>
      </c>
      <c r="AM88" s="32">
        <f>F88*AE88</f>
        <v>0</v>
      </c>
      <c r="AN88" s="33" t="s">
        <v>254</v>
      </c>
      <c r="AO88" s="33" t="s">
        <v>259</v>
      </c>
      <c r="AP88" s="27" t="s">
        <v>260</v>
      </c>
      <c r="AR88" s="32">
        <f>AL88+AM88</f>
        <v>0</v>
      </c>
      <c r="AS88" s="32">
        <f>G88/(100-AT88)*100</f>
        <v>0</v>
      </c>
      <c r="AT88" s="32">
        <v>0</v>
      </c>
      <c r="AU88" s="32">
        <f>L88</f>
        <v>0</v>
      </c>
    </row>
    <row r="89" ht="25.5">
      <c r="D89" s="15" t="s">
        <v>200</v>
      </c>
    </row>
    <row r="90" spans="1:47" ht="12.75">
      <c r="A90" s="4" t="s">
        <v>53</v>
      </c>
      <c r="B90" s="4"/>
      <c r="C90" s="4" t="s">
        <v>117</v>
      </c>
      <c r="D90" s="4" t="s">
        <v>201</v>
      </c>
      <c r="E90" s="4" t="s">
        <v>214</v>
      </c>
      <c r="F90" s="18">
        <v>168</v>
      </c>
      <c r="G90" s="18">
        <v>0</v>
      </c>
      <c r="H90" s="18">
        <f>F90*AD90</f>
        <v>0</v>
      </c>
      <c r="I90" s="18">
        <f>J90-H90</f>
        <v>0</v>
      </c>
      <c r="J90" s="18">
        <f>F90*G90</f>
        <v>0</v>
      </c>
      <c r="K90" s="18">
        <v>0</v>
      </c>
      <c r="L90" s="18">
        <f>F90*K90</f>
        <v>0</v>
      </c>
      <c r="O90" s="32">
        <f>IF(AF90="5",J90,0)</f>
        <v>0</v>
      </c>
      <c r="Q90" s="32">
        <f>IF(AF90="1",H90,0)</f>
        <v>0</v>
      </c>
      <c r="R90" s="32">
        <f>IF(AF90="1",I90,0)</f>
        <v>0</v>
      </c>
      <c r="S90" s="32">
        <f>IF(AF90="7",H90,0)</f>
        <v>0</v>
      </c>
      <c r="T90" s="32">
        <f>IF(AF90="7",I90,0)</f>
        <v>0</v>
      </c>
      <c r="U90" s="32">
        <f>IF(AF90="2",H90,0)</f>
        <v>0</v>
      </c>
      <c r="V90" s="32">
        <f>IF(AF90="2",I90,0)</f>
        <v>0</v>
      </c>
      <c r="W90" s="32">
        <f>IF(AF90="0",J90,0)</f>
        <v>0</v>
      </c>
      <c r="X90" s="27"/>
      <c r="Y90" s="18">
        <f>IF(AC90=0,J90,0)</f>
        <v>0</v>
      </c>
      <c r="Z90" s="18">
        <f>IF(AC90=15,J90,0)</f>
        <v>0</v>
      </c>
      <c r="AA90" s="18">
        <f>IF(AC90=21,J90,0)</f>
        <v>0</v>
      </c>
      <c r="AC90" s="32">
        <v>15</v>
      </c>
      <c r="AD90" s="32">
        <f>G90*0</f>
        <v>0</v>
      </c>
      <c r="AE90" s="32">
        <f>G90*(1-0)</f>
        <v>0</v>
      </c>
      <c r="AF90" s="28" t="s">
        <v>11</v>
      </c>
      <c r="AL90" s="32">
        <f>F90*AD90</f>
        <v>0</v>
      </c>
      <c r="AM90" s="32">
        <f>F90*AE90</f>
        <v>0</v>
      </c>
      <c r="AN90" s="33" t="s">
        <v>254</v>
      </c>
      <c r="AO90" s="33" t="s">
        <v>259</v>
      </c>
      <c r="AP90" s="27" t="s">
        <v>260</v>
      </c>
      <c r="AR90" s="32">
        <f>AL90+AM90</f>
        <v>0</v>
      </c>
      <c r="AS90" s="32">
        <f>G90/(100-AT90)*100</f>
        <v>0</v>
      </c>
      <c r="AT90" s="32">
        <v>0</v>
      </c>
      <c r="AU90" s="32">
        <f>L90</f>
        <v>0</v>
      </c>
    </row>
    <row r="91" ht="12.75">
      <c r="D91" s="15" t="s">
        <v>202</v>
      </c>
    </row>
    <row r="92" spans="1:47" ht="12.75">
      <c r="A92" s="7" t="s">
        <v>54</v>
      </c>
      <c r="B92" s="7"/>
      <c r="C92" s="7" t="s">
        <v>118</v>
      </c>
      <c r="D92" s="7" t="s">
        <v>203</v>
      </c>
      <c r="E92" s="7" t="s">
        <v>214</v>
      </c>
      <c r="F92" s="20">
        <v>16.8</v>
      </c>
      <c r="G92" s="20">
        <v>0</v>
      </c>
      <c r="H92" s="20">
        <f>F92*AD92</f>
        <v>0</v>
      </c>
      <c r="I92" s="20">
        <f>J92-H92</f>
        <v>0</v>
      </c>
      <c r="J92" s="20">
        <f>F92*G92</f>
        <v>0</v>
      </c>
      <c r="K92" s="20">
        <v>0</v>
      </c>
      <c r="L92" s="20">
        <f>F92*K92</f>
        <v>0</v>
      </c>
      <c r="O92" s="32">
        <f>IF(AF92="5",J92,0)</f>
        <v>0</v>
      </c>
      <c r="Q92" s="32">
        <f>IF(AF92="1",H92,0)</f>
        <v>0</v>
      </c>
      <c r="R92" s="32">
        <f>IF(AF92="1",I92,0)</f>
        <v>0</v>
      </c>
      <c r="S92" s="32">
        <f>IF(AF92="7",H92,0)</f>
        <v>0</v>
      </c>
      <c r="T92" s="32">
        <f>IF(AF92="7",I92,0)</f>
        <v>0</v>
      </c>
      <c r="U92" s="32">
        <f>IF(AF92="2",H92,0)</f>
        <v>0</v>
      </c>
      <c r="V92" s="32">
        <f>IF(AF92="2",I92,0)</f>
        <v>0</v>
      </c>
      <c r="W92" s="32">
        <f>IF(AF92="0",J92,0)</f>
        <v>0</v>
      </c>
      <c r="X92" s="27"/>
      <c r="Y92" s="18">
        <f>IF(AC92=0,J92,0)</f>
        <v>0</v>
      </c>
      <c r="Z92" s="18">
        <f>IF(AC92=15,J92,0)</f>
        <v>0</v>
      </c>
      <c r="AA92" s="18">
        <f>IF(AC92=21,J92,0)</f>
        <v>0</v>
      </c>
      <c r="AC92" s="32">
        <v>15</v>
      </c>
      <c r="AD92" s="32">
        <f>G92*0</f>
        <v>0</v>
      </c>
      <c r="AE92" s="32">
        <f>G92*(1-0)</f>
        <v>0</v>
      </c>
      <c r="AF92" s="28" t="s">
        <v>7</v>
      </c>
      <c r="AL92" s="32">
        <f>F92*AD92</f>
        <v>0</v>
      </c>
      <c r="AM92" s="32">
        <f>F92*AE92</f>
        <v>0</v>
      </c>
      <c r="AN92" s="33" t="s">
        <v>254</v>
      </c>
      <c r="AO92" s="33" t="s">
        <v>259</v>
      </c>
      <c r="AP92" s="27" t="s">
        <v>260</v>
      </c>
      <c r="AR92" s="32">
        <f>AL92+AM92</f>
        <v>0</v>
      </c>
      <c r="AS92" s="32">
        <f>G92/(100-AT92)*100</f>
        <v>0</v>
      </c>
      <c r="AT92" s="32">
        <v>0</v>
      </c>
      <c r="AU92" s="32">
        <f>L92</f>
        <v>0</v>
      </c>
    </row>
    <row r="93" spans="1:12" ht="12.75">
      <c r="A93" s="8"/>
      <c r="B93" s="8"/>
      <c r="C93" s="8"/>
      <c r="D93" s="8"/>
      <c r="E93" s="8"/>
      <c r="F93" s="8"/>
      <c r="G93" s="8"/>
      <c r="H93" s="118" t="s">
        <v>221</v>
      </c>
      <c r="I93" s="71"/>
      <c r="J93" s="36">
        <f>J12+J16+J37+J51+J54+J57+J62+J72+J75+J77+J79+J81+J83+J85</f>
        <v>0</v>
      </c>
      <c r="K93" s="8"/>
      <c r="L93" s="8"/>
    </row>
    <row r="94" ht="11.25" customHeight="1">
      <c r="A94" s="9" t="s">
        <v>55</v>
      </c>
    </row>
    <row r="95" spans="1:12" ht="12.75">
      <c r="A95" s="77" t="s">
        <v>314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102" spans="3:9" ht="12.75">
      <c r="C102" s="119"/>
      <c r="D102" s="119"/>
      <c r="E102" s="119"/>
      <c r="F102" s="119"/>
      <c r="G102" s="119"/>
      <c r="H102" s="120"/>
      <c r="I102" s="119"/>
    </row>
    <row r="103" spans="3:9" ht="12.75">
      <c r="C103" s="121" t="s">
        <v>292</v>
      </c>
      <c r="D103" s="122"/>
      <c r="E103" s="122"/>
      <c r="F103" s="121" t="s">
        <v>307</v>
      </c>
      <c r="G103" s="122"/>
      <c r="H103" s="123"/>
      <c r="I103" s="122"/>
    </row>
    <row r="104" spans="3:9" ht="12.75">
      <c r="C104" s="124" t="s">
        <v>315</v>
      </c>
      <c r="D104" s="119"/>
      <c r="E104" s="119"/>
      <c r="F104" s="119"/>
      <c r="G104" s="119"/>
      <c r="H104" s="120"/>
      <c r="I104" s="119"/>
    </row>
    <row r="105" spans="3:9" ht="12.75">
      <c r="C105" s="124" t="s">
        <v>316</v>
      </c>
      <c r="D105" s="119"/>
      <c r="E105" s="119"/>
      <c r="F105" s="119"/>
      <c r="G105" s="119"/>
      <c r="H105" s="120"/>
      <c r="I105" s="119"/>
    </row>
    <row r="106" spans="3:9" ht="12.75">
      <c r="C106" s="124" t="s">
        <v>317</v>
      </c>
      <c r="D106" s="119"/>
      <c r="E106" s="119"/>
      <c r="F106" s="119"/>
      <c r="G106" s="119"/>
      <c r="H106" s="120"/>
      <c r="I106" s="119"/>
    </row>
    <row r="107" spans="3:9" ht="12.75">
      <c r="C107" s="119"/>
      <c r="D107" s="119"/>
      <c r="E107" s="119"/>
      <c r="F107" s="119"/>
      <c r="G107" s="119"/>
      <c r="H107" s="120"/>
      <c r="I107" s="119"/>
    </row>
    <row r="108" spans="3:9" ht="12.75">
      <c r="C108" s="119"/>
      <c r="D108" s="119"/>
      <c r="E108" s="119"/>
      <c r="F108" s="119"/>
      <c r="G108" s="119"/>
      <c r="H108" s="120"/>
      <c r="I108" s="119"/>
    </row>
  </sheetData>
  <sheetProtection/>
  <mergeCells count="43">
    <mergeCell ref="D79:G79"/>
    <mergeCell ref="D81:G81"/>
    <mergeCell ref="D83:G83"/>
    <mergeCell ref="D85:G85"/>
    <mergeCell ref="H93:I93"/>
    <mergeCell ref="A95:L95"/>
    <mergeCell ref="D54:G54"/>
    <mergeCell ref="D57:G57"/>
    <mergeCell ref="D62:G62"/>
    <mergeCell ref="D72:G72"/>
    <mergeCell ref="D75:G75"/>
    <mergeCell ref="D77:G77"/>
    <mergeCell ref="H10:J10"/>
    <mergeCell ref="K10:L10"/>
    <mergeCell ref="D12:G12"/>
    <mergeCell ref="D16:G16"/>
    <mergeCell ref="D37:G37"/>
    <mergeCell ref="D51:G51"/>
    <mergeCell ref="A8:C9"/>
    <mergeCell ref="D8:D9"/>
    <mergeCell ref="E8:F9"/>
    <mergeCell ref="G8:H9"/>
    <mergeCell ref="I8:I9"/>
    <mergeCell ref="J8:L9"/>
    <mergeCell ref="A6:C7"/>
    <mergeCell ref="D6:D7"/>
    <mergeCell ref="E6:F7"/>
    <mergeCell ref="G6:H7"/>
    <mergeCell ref="I6:I7"/>
    <mergeCell ref="J6:L7"/>
    <mergeCell ref="A4:C5"/>
    <mergeCell ref="D4:D5"/>
    <mergeCell ref="E4:F5"/>
    <mergeCell ref="G4:H5"/>
    <mergeCell ref="I4:I5"/>
    <mergeCell ref="J4:L5"/>
    <mergeCell ref="A1:L1"/>
    <mergeCell ref="A2:C3"/>
    <mergeCell ref="D2:D3"/>
    <mergeCell ref="E2:F3"/>
    <mergeCell ref="G2:H3"/>
    <mergeCell ref="I2:I3"/>
    <mergeCell ref="J2:L3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Šustr Jiří</cp:lastModifiedBy>
  <dcterms:created xsi:type="dcterms:W3CDTF">2018-05-29T07:20:54Z</dcterms:created>
  <dcterms:modified xsi:type="dcterms:W3CDTF">2020-09-18T05:37:54Z</dcterms:modified>
  <cp:category/>
  <cp:version/>
  <cp:contentType/>
  <cp:contentStatus/>
</cp:coreProperties>
</file>