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Stavební rozpočet - součet" sheetId="1" r:id="rId1"/>
    <sheet name="Krycí list rozpočtu" sheetId="2" r:id="rId2"/>
    <sheet name="VORN" sheetId="3" r:id="rId3"/>
    <sheet name="Stavební rozpočet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<sst xmlns="http://schemas.openxmlformats.org/spreadsheetml/2006/main" count="1816" uniqueCount="418">
  <si>
    <t>Položkový rozpočet - rekapitulace</t>
  </si>
  <si>
    <t>Název stavby:</t>
  </si>
  <si>
    <t>Druh stavby:</t>
  </si>
  <si>
    <t>Lokalita:</t>
  </si>
  <si>
    <t>Zpracoval:</t>
  </si>
  <si>
    <t>Objekt</t>
  </si>
  <si>
    <t>BYT 17</t>
  </si>
  <si>
    <t>BYT 3</t>
  </si>
  <si>
    <t>Kód</t>
  </si>
  <si>
    <t>12</t>
  </si>
  <si>
    <t>34</t>
  </si>
  <si>
    <t>61</t>
  </si>
  <si>
    <t>63</t>
  </si>
  <si>
    <t>725</t>
  </si>
  <si>
    <t>728</t>
  </si>
  <si>
    <t>764</t>
  </si>
  <si>
    <t>767</t>
  </si>
  <si>
    <t>771</t>
  </si>
  <si>
    <t>784</t>
  </si>
  <si>
    <t>94</t>
  </si>
  <si>
    <t>96</t>
  </si>
  <si>
    <t>97</t>
  </si>
  <si>
    <t>H01</t>
  </si>
  <si>
    <t>M100VD</t>
  </si>
  <si>
    <t>Zkrácený popis</t>
  </si>
  <si>
    <t>Montované konstrukce</t>
  </si>
  <si>
    <t>Stěny a příčky</t>
  </si>
  <si>
    <t>Úprava povrchů vnitřní</t>
  </si>
  <si>
    <t>Podlahy a podlahové konstrukce</t>
  </si>
  <si>
    <t>Zařizovací předměty</t>
  </si>
  <si>
    <t>Vzduchotechnika</t>
  </si>
  <si>
    <t>Konstrukce klempířské</t>
  </si>
  <si>
    <t>Výplně otvorů</t>
  </si>
  <si>
    <t>Obklady a dlažby</t>
  </si>
  <si>
    <t>Malby a nátěry</t>
  </si>
  <si>
    <t>Lešení a stavební výtahy</t>
  </si>
  <si>
    <t>Bourání konstrukcí</t>
  </si>
  <si>
    <t>Přesuny a likvidace vybouraných hmot</t>
  </si>
  <si>
    <t>Přesuny hmot</t>
  </si>
  <si>
    <t>Ostatní konstrukce a práce</t>
  </si>
  <si>
    <t>Doba výstavby:</t>
  </si>
  <si>
    <t>Začátek výstavby:</t>
  </si>
  <si>
    <t>Konec výstavby:</t>
  </si>
  <si>
    <t>Zpracováno dne:</t>
  </si>
  <si>
    <t xml:space="preserve"> </t>
  </si>
  <si>
    <t>10.12.2021</t>
  </si>
  <si>
    <t>Náklady (Kč) - dodávka</t>
  </si>
  <si>
    <t>Objednatel:</t>
  </si>
  <si>
    <t>Projektant:</t>
  </si>
  <si>
    <t>Zhotovitel:</t>
  </si>
  <si>
    <t>Náklady (Kč) - Montáž</t>
  </si>
  <si>
    <t>Celkem:</t>
  </si>
  <si>
    <t>Náklady (Kč) - celkem</t>
  </si>
  <si>
    <t>F</t>
  </si>
  <si>
    <t>T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</si>
  <si>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</si>
  <si>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</si>
  <si>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</si>
  <si>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</si>
  <si>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</si>
  <si>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</si>
  <si>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</si>
  <si>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</si>
  <si>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</si>
  <si>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</si>
  <si>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</si>
  <si>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</si>
  <si>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</si>
  <si>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</si>
  <si>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</si>
  <si>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Stavební rozpočet zahrnuje stavební práce prováděné v bytech č. 3 a 17
Cenové hladiny jsou uvažovány pro období 12/2021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</si>
  <si>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</si>
  <si>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</si>
  <si>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</si>
  <si>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</si>
  <si>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</si>
  <si>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</si>
  <si>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</si>
  <si>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</si>
  <si>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</si>
  <si>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</si>
  <si>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</si>
  <si>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</si>
  <si>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</si>
  <si>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</si>
  <si>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</si>
  <si>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</si>
  <si>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</si>
  <si>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</si>
  <si>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</si>
  <si>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</si>
  <si>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</si>
  <si>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</si>
  <si>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</si>
  <si>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</si>
  <si>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</si>
  <si>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</si>
  <si>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</si>
  <si>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</si>
  <si>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</si>
  <si>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</si>
  <si>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</si>
  <si>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</si>
  <si>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114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</si>
  <si>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</si>
  <si>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</si>
  <si>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</si>
  <si>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</si>
  <si>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</si>
  <si>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</si>
  <si>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</si>
  <si>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Režijní náklady</t>
  </si>
  <si>
    <t>Celkem ORN</t>
  </si>
  <si>
    <t>Vedlejší a ostatní rozpočtové náklady</t>
  </si>
  <si>
    <t>Kč</t>
  </si>
  <si>
    <t>%</t>
  </si>
  <si>
    <t>Základna</t>
  </si>
  <si>
    <t>Položkový rozpočet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</si>
  <si>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</si>
  <si>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</si>
  <si>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</si>
  <si>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</si>
  <si>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</si>
  <si>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</si>
  <si>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</si>
  <si>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</si>
  <si>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</si>
  <si>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</si>
  <si>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</si>
  <si>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</si>
  <si>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</si>
  <si>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</si>
  <si>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</si>
  <si>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</si>
  <si>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</si>
  <si>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</si>
  <si>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</si>
  <si>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</si>
  <si>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</si>
  <si>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</si>
  <si>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</si>
  <si>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</si>
  <si>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</si>
  <si>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</si>
  <si>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</si>
  <si>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</si>
  <si>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</si>
  <si>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</si>
  <si>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</si>
  <si>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</si>
  <si>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</si>
  <si>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</si>
  <si>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</si>
  <si>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</si>
  <si>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</si>
  <si>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</si>
  <si>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</si>
  <si>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</si>
  <si>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</si>
  <si>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</si>
  <si>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</si>
  <si>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</si>
  <si>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</si>
  <si>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</si>
  <si>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</si>
  <si>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</si>
  <si>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</si>
  <si>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</si>
  <si>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</si>
  <si>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</si>
  <si>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</si>
  <si>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</si>
  <si>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</si>
  <si>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</si>
  <si>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</si>
  <si>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</si>
  <si>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</si>
  <si>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</si>
  <si>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</si>
  <si>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</si>
  <si>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</si>
  <si>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</si>
  <si>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</si>
  <si>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</si>
  <si>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</si>
  <si>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</si>
  <si>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</si>
  <si>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</si>
  <si>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</si>
  <si>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</si>
  <si>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</si>
  <si>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</si>
  <si>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</si>
  <si>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</si>
  <si>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</si>
  <si>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</si>
  <si>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</si>
  <si>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</si>
  <si>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</si>
  <si>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</si>
  <si>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</si>
  <si>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</si>
  <si>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</si>
  <si>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</si>
  <si>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</si>
  <si>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</si>
  <si>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</si>
  <si>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</si>
  <si>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</si>
  <si>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</si>
  <si>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</si>
  <si>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</si>
  <si>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</si>
  <si>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</si>
  <si>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</si>
  <si>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</si>
  <si>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</si>
  <si>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</si>
  <si>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</si>
  <si>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</si>
  <si>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</si>
  <si>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</si>
  <si>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</si>
  <si>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</si>
  <si>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</si>
  <si>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347111314R00</t>
  </si>
  <si>
    <t>342280060RAA</t>
  </si>
  <si>
    <t>Varianta:</t>
  </si>
  <si>
    <t>342256252R00</t>
  </si>
  <si>
    <t>342256253R00</t>
  </si>
  <si>
    <t>317147301R00</t>
  </si>
  <si>
    <t>342256255R00</t>
  </si>
  <si>
    <t>317147321R00</t>
  </si>
  <si>
    <t>311231149RT4</t>
  </si>
  <si>
    <t>001003VD</t>
  </si>
  <si>
    <t>612441241R00</t>
  </si>
  <si>
    <t>602021104R00</t>
  </si>
  <si>
    <t>602011141RT3</t>
  </si>
  <si>
    <t>632415104R00</t>
  </si>
  <si>
    <t>762510010RA0</t>
  </si>
  <si>
    <t>776521200R00</t>
  </si>
  <si>
    <t>776421100RU1</t>
  </si>
  <si>
    <t>725249101R00</t>
  </si>
  <si>
    <t>726211323R00</t>
  </si>
  <si>
    <t>725017122R00</t>
  </si>
  <si>
    <t>728616854R00</t>
  </si>
  <si>
    <t>764410010RA0</t>
  </si>
  <si>
    <t>642940014RA0</t>
  </si>
  <si>
    <t>767640112RA0</t>
  </si>
  <si>
    <t>767640118RA0</t>
  </si>
  <si>
    <t>766670022RA0</t>
  </si>
  <si>
    <t>003002VD</t>
  </si>
  <si>
    <t>771570014RAA</t>
  </si>
  <si>
    <t>781415015RT7</t>
  </si>
  <si>
    <t>3000VD</t>
  </si>
  <si>
    <t>784165512R00</t>
  </si>
  <si>
    <t>784161401R00</t>
  </si>
  <si>
    <t>941955001R00</t>
  </si>
  <si>
    <t>968062456R00</t>
  </si>
  <si>
    <t>784401801R00</t>
  </si>
  <si>
    <t>962032231R00</t>
  </si>
  <si>
    <t>630900030RAB</t>
  </si>
  <si>
    <t>978059531R00</t>
  </si>
  <si>
    <t>962036412R00</t>
  </si>
  <si>
    <t>968062357R00</t>
  </si>
  <si>
    <t>968061125R00</t>
  </si>
  <si>
    <t>766662811R00</t>
  </si>
  <si>
    <t>725530826R00</t>
  </si>
  <si>
    <t>725200010RA0</t>
  </si>
  <si>
    <t>725200040RA0</t>
  </si>
  <si>
    <t>979100011RA0</t>
  </si>
  <si>
    <t>998011001R00</t>
  </si>
  <si>
    <t>1111VD</t>
  </si>
  <si>
    <t>000005VD</t>
  </si>
  <si>
    <t>Stavební úpravy</t>
  </si>
  <si>
    <t>Bourací práce a nové konstrukce</t>
  </si>
  <si>
    <t>Zengerova 357, byt č. 3 a 17</t>
  </si>
  <si>
    <t>Zkrácený popis / Varianta</t>
  </si>
  <si>
    <t>Rozměry</t>
  </si>
  <si>
    <t>SDK instalační předstěny KNAUF W625 (CW 75 s izolací tl. 40mm)</t>
  </si>
  <si>
    <t>Podhled zavěšený z desek sádrokartonových</t>
  </si>
  <si>
    <t>ocel. nosná kce, deska standard 12,5 mm, izolace 200mm, V koupelně zelený SDK</t>
  </si>
  <si>
    <t>Příčka z tvárnic pórobetonových PORFIX tl.  75 mm</t>
  </si>
  <si>
    <t>Příčka z tvárnic pórobetonových PORFIX tl. 100 mm</t>
  </si>
  <si>
    <t>D + M Překlad nenosný z pórobetonu PORFIX 100x250x1200</t>
  </si>
  <si>
    <t>Příčka z tvárnic pórobetonových PORFIX tl. 150 mm</t>
  </si>
  <si>
    <t>D + M Překlad nenosný z pórobetonu PORFIX 150x250x1200</t>
  </si>
  <si>
    <t>Zdivo nosné cihelné</t>
  </si>
  <si>
    <t>(sloupek pro osazení překladu vstupních dveří)</t>
  </si>
  <si>
    <t>ostatní blíže nespecifikované dozdívky a opravy ostění</t>
  </si>
  <si>
    <t>Nový okenní parapet</t>
  </si>
  <si>
    <t>plast bílá, vč. rohů</t>
  </si>
  <si>
    <t>Oprava omítek stěn do 20 % opr.plochy</t>
  </si>
  <si>
    <t>Adhézní nátěr stěn, ručně (betokontakt)</t>
  </si>
  <si>
    <t>Štuk na stěnách vnitřní, ručně</t>
  </si>
  <si>
    <t>Potěr samonivelační ručně</t>
  </si>
  <si>
    <t>Podlaha z desek dřevotřískových přibíjená</t>
  </si>
  <si>
    <t>D + M povlakových podlah PVC/koberec</t>
  </si>
  <si>
    <t>D + M podlahových soklíků</t>
  </si>
  <si>
    <t>D + M Sprcha</t>
  </si>
  <si>
    <t>Vanička, dvířka, baterie</t>
  </si>
  <si>
    <t>D + M splachovací WC</t>
  </si>
  <si>
    <t>vč. prkénka</t>
  </si>
  <si>
    <t>D + M Umyvadlo</t>
  </si>
  <si>
    <t>D + M Axiální ventilátor se síťkou do DN 125</t>
  </si>
  <si>
    <t>Oplechování parapetů z Pz plechu</t>
  </si>
  <si>
    <t>D + M ocelová zárubeň do zdi</t>
  </si>
  <si>
    <t>Šířku zárubně přizpůsobit tlouštce stěny</t>
  </si>
  <si>
    <t>D + M Dveře jednokřídlové 70 x 197 cm levé</t>
  </si>
  <si>
    <t>SOLODOOR CPL šedá plné</t>
  </si>
  <si>
    <t>D + M Dveře jednokřídlové 90 x 197 cm levé</t>
  </si>
  <si>
    <t>D + M Dveře jednokřídlové 90 x 197 cm pravé</t>
  </si>
  <si>
    <t>D + M Dveře protipožární jednokřídlové 90 x 197 cm</t>
  </si>
  <si>
    <t>SOLODOOR CPL šedé plné bezpečnostní</t>
  </si>
  <si>
    <t>Okno plastové dvoukřídlové</t>
  </si>
  <si>
    <t>cena stanovena na základě odborného odhadu</t>
  </si>
  <si>
    <t>Dveřní kování klika</t>
  </si>
  <si>
    <t>Dlažba z dlaždic keramických 33 x 33 cm</t>
  </si>
  <si>
    <t>Montáž obkladů stěn 25 x 33 cm</t>
  </si>
  <si>
    <t>Dlažba 33x33</t>
  </si>
  <si>
    <t>Obklad  (výška 2m)</t>
  </si>
  <si>
    <t>Malba HET Klasik, bílá, bez penetrace, 2 x</t>
  </si>
  <si>
    <t>včetně podhledu</t>
  </si>
  <si>
    <t>Penetrace podkladu - HET UP-grund penetrační tónovaný nátěr</t>
  </si>
  <si>
    <t>Lešení lehké pomocné, výška podlahy do 2 m</t>
  </si>
  <si>
    <t>Vybourání dřevěných dveřních zárubní</t>
  </si>
  <si>
    <t>Odstranění malby obroušením</t>
  </si>
  <si>
    <t>Bourání příček a otvorů z cihel</t>
  </si>
  <si>
    <t>Vybourání dlažby (podkladní beton zachovat)</t>
  </si>
  <si>
    <t>Odsekání vnitřních obkladů stěn</t>
  </si>
  <si>
    <t>Demontáž SDK předstěny</t>
  </si>
  <si>
    <t>Vybourání rámu dřevěných oken, vyvěšení křídel</t>
  </si>
  <si>
    <t>vyvěšení křídel a vybourání rámu</t>
  </si>
  <si>
    <t>Vyvěšení dřevěných dveřních křídel</t>
  </si>
  <si>
    <t>Demontáž prahů dveří</t>
  </si>
  <si>
    <t>Demontáž povrchového vedení elektroinstalace, svítidel, rozvaděče,...</t>
  </si>
  <si>
    <t>Montáž zařizovacích předmětů - klozet</t>
  </si>
  <si>
    <t>Demontáž, zásobník elektrický akumulační</t>
  </si>
  <si>
    <t>Demontáž zařizovacích předmětů - vana</t>
  </si>
  <si>
    <t>Demontáž ostatních, bliže nespecifikovaných rozvodů vodovodu</t>
  </si>
  <si>
    <t>Odvoz vyb.hmot do 10 km, vnitrost. 15 m (suť)</t>
  </si>
  <si>
    <t>Odvoz vyb.hmot do 10 km, vnitrost. 15 m (ostatní odpad)</t>
  </si>
  <si>
    <t>Přesun vybouraných hmot</t>
  </si>
  <si>
    <t>Přesun hmot vnitrostaveništní</t>
  </si>
  <si>
    <t>Drobné, nespecifikované práce a nové konstrukce</t>
  </si>
  <si>
    <t>Drobné, blíže nespecifikované bourací práce</t>
  </si>
  <si>
    <t>Stavební přípomoc profesím</t>
  </si>
  <si>
    <t>Kuchyňská linka</t>
  </si>
  <si>
    <t>MJ</t>
  </si>
  <si>
    <t>m2</t>
  </si>
  <si>
    <t>kus</t>
  </si>
  <si>
    <t>m3</t>
  </si>
  <si>
    <t>komplet</t>
  </si>
  <si>
    <t>m</t>
  </si>
  <si>
    <t>t</t>
  </si>
  <si>
    <t>Množství</t>
  </si>
  <si>
    <t>Cena/MJ</t>
  </si>
  <si>
    <t>(Kč)</t>
  </si>
  <si>
    <t>Město Kolín</t>
  </si>
  <si>
    <t>Vít Ledvina</t>
  </si>
  <si>
    <t>Tridora group s.r.o.</t>
  </si>
  <si>
    <t> </t>
  </si>
  <si>
    <t>Náklady (Kč)</t>
  </si>
  <si>
    <t>Dodávka</t>
  </si>
  <si>
    <t>Celkem</t>
  </si>
  <si>
    <t>Cenová</t>
  </si>
  <si>
    <t>soustava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</si>
  <si>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</si>
  <si>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</si>
  <si>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</si>
  <si>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</si>
  <si>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</si>
  <si>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</si>
  <si>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</si>
  <si>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</si>
  <si>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</si>
  <si>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</si>
  <si>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</si>
  <si>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34_</t>
  </si>
  <si>
    <t>61_</t>
  </si>
  <si>
    <t>63_</t>
  </si>
  <si>
    <t>725_</t>
  </si>
  <si>
    <t>728_</t>
  </si>
  <si>
    <t>764_</t>
  </si>
  <si>
    <t>767_</t>
  </si>
  <si>
    <t>771_</t>
  </si>
  <si>
    <t>784_</t>
  </si>
  <si>
    <t>94_</t>
  </si>
  <si>
    <t>96_</t>
  </si>
  <si>
    <t>97_</t>
  </si>
  <si>
    <t>H01_</t>
  </si>
  <si>
    <t>M100VD_</t>
  </si>
  <si>
    <t>BYT 17_1_</t>
  </si>
  <si>
    <t>BYT 17_3_</t>
  </si>
  <si>
    <t>BYT 17_6_</t>
  </si>
  <si>
    <t>BYT 17_72_</t>
  </si>
  <si>
    <t>BYT 17_76_</t>
  </si>
  <si>
    <t>BYT 17_77_</t>
  </si>
  <si>
    <t>BYT 17_78_</t>
  </si>
  <si>
    <t>BYT 17_9_</t>
  </si>
  <si>
    <t>BYT 3_1_</t>
  </si>
  <si>
    <t>BYT 3_3_</t>
  </si>
  <si>
    <t>BYT 3_6_</t>
  </si>
  <si>
    <t>BYT 3_72_</t>
  </si>
  <si>
    <t>BYT 3_76_</t>
  </si>
  <si>
    <t>BYT 3_77_</t>
  </si>
  <si>
    <t>BYT 3_78_</t>
  </si>
  <si>
    <t>BYT 3_9_</t>
  </si>
  <si>
    <t>BYT 17_</t>
  </si>
  <si>
    <t>BYT 3_</t>
  </si>
  <si>
    <t>MAT</t>
  </si>
  <si>
    <t>WORK</t>
  </si>
  <si>
    <t>CELK</t>
  </si>
  <si>
    <t>ISWORK</t>
  </si>
  <si>
    <t>P</t>
  </si>
  <si>
    <t>GROUPCODE</t>
  </si>
  <si>
    <t>(skříňky spodní, Skříňky horní, dřez, baterie, montážní příslušenství pro napojení odpadu, eletrický sporák volně stojící, digestoř)</t>
  </si>
  <si>
    <t>(skříňky spodní, Skříňky horní, dřez, baterie, montážní příslušenství pro napojení odpadu,eletrický sporák volně stojící, digestoř)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</si>
</sst>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5" fillId="33" borderId="18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6" fillId="33" borderId="28" xfId="0" applyNumberFormat="1" applyFont="1" applyFill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0" fillId="34" borderId="11" xfId="0" applyNumberFormat="1" applyFont="1" applyFill="1" applyBorder="1" applyAlignment="1" applyProtection="1">
      <alignment horizontal="left" vertical="center"/>
      <protection/>
    </xf>
    <xf numFmtId="49" fontId="11" fillId="35" borderId="12" xfId="0" applyNumberFormat="1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49" fontId="10" fillId="34" borderId="12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3" fillId="34" borderId="14" xfId="0" applyNumberFormat="1" applyFont="1" applyFill="1" applyBorder="1" applyAlignment="1" applyProtection="1">
      <alignment horizontal="left" vertical="center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right" vertical="top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right" vertical="top"/>
      <protection/>
    </xf>
    <xf numFmtId="49" fontId="10" fillId="34" borderId="14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13" fillId="34" borderId="25" xfId="0" applyNumberFormat="1" applyFont="1" applyFill="1" applyBorder="1" applyAlignment="1" applyProtection="1">
      <alignment horizontal="right" vertical="center"/>
      <protection/>
    </xf>
    <xf numFmtId="49" fontId="14" fillId="35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9" fontId="13" fillId="34" borderId="26" xfId="0" applyNumberFormat="1" applyFont="1" applyFill="1" applyBorder="1" applyAlignment="1" applyProtection="1">
      <alignment horizontal="right" vertical="center"/>
      <protection/>
    </xf>
    <xf numFmtId="49" fontId="14" fillId="35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3" fillId="34" borderId="14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 vertical="center"/>
      <protection/>
    </xf>
    <xf numFmtId="4" fontId="13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left" vertical="center"/>
      <protection/>
    </xf>
    <xf numFmtId="49" fontId="6" fillId="0" borderId="47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left" vertical="center"/>
      <protection/>
    </xf>
    <xf numFmtId="49" fontId="6" fillId="33" borderId="47" xfId="0" applyNumberFormat="1" applyFont="1" applyFill="1" applyBorder="1" applyAlignment="1" applyProtection="1">
      <alignment horizontal="left" vertical="center"/>
      <protection/>
    </xf>
    <xf numFmtId="0" fontId="6" fillId="33" borderId="46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50" xfId="0" applyNumberFormat="1" applyFont="1" applyFill="1" applyBorder="1" applyAlignment="1" applyProtection="1">
      <alignment horizontal="left" vertical="center"/>
      <protection/>
    </xf>
    <xf numFmtId="49" fontId="7" fillId="0" borderId="51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7" fillId="0" borderId="52" xfId="0" applyNumberFormat="1" applyFont="1" applyFill="1" applyBorder="1" applyAlignment="1" applyProtection="1">
      <alignment horizontal="left" vertical="center"/>
      <protection/>
    </xf>
    <xf numFmtId="49" fontId="6" fillId="0" borderId="30" xfId="0" applyNumberFormat="1" applyFont="1" applyFill="1" applyBorder="1" applyAlignment="1" applyProtection="1">
      <alignment horizontal="left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6" fillId="0" borderId="58" xfId="0" applyNumberFormat="1" applyFont="1" applyFill="1" applyBorder="1" applyAlignment="1" applyProtection="1">
      <alignment horizontal="left" vertical="center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59" xfId="0" applyNumberFormat="1" applyFont="1" applyFill="1" applyBorder="1" applyAlignment="1" applyProtection="1">
      <alignment horizontal="left" vertical="center"/>
      <protection/>
    </xf>
    <xf numFmtId="4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59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3" fillId="34" borderId="14" xfId="0" applyNumberFormat="1" applyFont="1" applyFill="1" applyBorder="1" applyAlignment="1" applyProtection="1">
      <alignment horizontal="left" vertical="center"/>
      <protection/>
    </xf>
    <xf numFmtId="0" fontId="13" fillId="34" borderId="14" xfId="0" applyNumberFormat="1" applyFont="1" applyFill="1" applyBorder="1" applyAlignment="1" applyProtection="1">
      <alignment horizontal="left" vertical="center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13" fillId="34" borderId="0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16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44" sqref="G44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82" t="s">
        <v>0</v>
      </c>
      <c r="B1" s="83"/>
      <c r="C1" s="83"/>
      <c r="D1" s="83"/>
      <c r="E1" s="83"/>
      <c r="F1" s="83"/>
      <c r="G1" s="83"/>
    </row>
    <row r="2" spans="1:8" ht="12.75">
      <c r="A2" s="84" t="s">
        <v>1</v>
      </c>
      <c r="B2" s="85"/>
      <c r="C2" s="88" t="str">
        <f>'Stavební rozpočet'!C2</f>
        <v>Stavební úpravy</v>
      </c>
      <c r="D2" s="90" t="s">
        <v>40</v>
      </c>
      <c r="E2" s="90" t="s">
        <v>44</v>
      </c>
      <c r="F2" s="91" t="s">
        <v>47</v>
      </c>
      <c r="G2" s="92" t="str">
        <f>'Stavební rozpočet'!J2</f>
        <v>Město Kolín</v>
      </c>
      <c r="H2" s="11"/>
    </row>
    <row r="3" spans="1:8" ht="12.75">
      <c r="A3" s="86"/>
      <c r="B3" s="87"/>
      <c r="C3" s="89"/>
      <c r="D3" s="87"/>
      <c r="E3" s="87"/>
      <c r="F3" s="87"/>
      <c r="G3" s="93"/>
      <c r="H3" s="11"/>
    </row>
    <row r="4" spans="1:8" ht="12.75">
      <c r="A4" s="94" t="s">
        <v>2</v>
      </c>
      <c r="B4" s="87"/>
      <c r="C4" s="95" t="str">
        <f>'Stavební rozpočet'!C4</f>
        <v>Bourací práce a nové konstrukce</v>
      </c>
      <c r="D4" s="96" t="s">
        <v>41</v>
      </c>
      <c r="E4" s="96" t="s">
        <v>44</v>
      </c>
      <c r="F4" s="95" t="s">
        <v>48</v>
      </c>
      <c r="G4" s="97" t="str">
        <f>'Stavební rozpočet'!J4</f>
        <v>Vít Ledvina</v>
      </c>
      <c r="H4" s="11"/>
    </row>
    <row r="5" spans="1:8" ht="12.75">
      <c r="A5" s="86"/>
      <c r="B5" s="87"/>
      <c r="C5" s="87"/>
      <c r="D5" s="87"/>
      <c r="E5" s="87"/>
      <c r="F5" s="87"/>
      <c r="G5" s="93"/>
      <c r="H5" s="11"/>
    </row>
    <row r="6" spans="1:8" ht="12.75">
      <c r="A6" s="94" t="s">
        <v>3</v>
      </c>
      <c r="B6" s="87"/>
      <c r="C6" s="95" t="str">
        <f>'Stavební rozpočet'!C6</f>
        <v>Zengerova 357, byt č. 3 a 17</v>
      </c>
      <c r="D6" s="96" t="s">
        <v>42</v>
      </c>
      <c r="E6" s="96" t="s">
        <v>44</v>
      </c>
      <c r="F6" s="95" t="s">
        <v>49</v>
      </c>
      <c r="G6" s="97" t="str">
        <f>'Stavební rozpočet'!J6</f>
        <v>Tridora group s.r.o.</v>
      </c>
      <c r="H6" s="11"/>
    </row>
    <row r="7" spans="1:8" ht="12.75">
      <c r="A7" s="86"/>
      <c r="B7" s="87"/>
      <c r="C7" s="87"/>
      <c r="D7" s="87"/>
      <c r="E7" s="87"/>
      <c r="F7" s="87"/>
      <c r="G7" s="93"/>
      <c r="H7" s="11"/>
    </row>
    <row r="8" spans="1:8" ht="12.75">
      <c r="A8" s="94" t="s">
        <v>4</v>
      </c>
      <c r="B8" s="87"/>
      <c r="C8" s="95" t="str">
        <f>'Stavební rozpočet'!J8</f>
        <v> </v>
      </c>
      <c r="D8" s="96" t="s">
        <v>43</v>
      </c>
      <c r="E8" s="96" t="s">
        <v>45</v>
      </c>
      <c r="F8" s="96" t="s">
        <v>43</v>
      </c>
      <c r="G8" s="97" t="str">
        <f>'Stavební rozpočet'!G8</f>
        <v>10.12.2021</v>
      </c>
      <c r="H8" s="11"/>
    </row>
    <row r="9" spans="1:8" ht="12.75">
      <c r="A9" s="98"/>
      <c r="B9" s="99"/>
      <c r="C9" s="99"/>
      <c r="D9" s="100"/>
      <c r="E9" s="99"/>
      <c r="F9" s="99"/>
      <c r="G9" s="101"/>
      <c r="H9" s="11"/>
    </row>
    <row r="10" spans="1:8" ht="12.75">
      <c r="A10" s="1" t="s">
        <v>5</v>
      </c>
      <c r="B10" s="4" t="s">
        <v>8</v>
      </c>
      <c r="C10" s="7" t="s">
        <v>24</v>
      </c>
      <c r="D10" s="8"/>
      <c r="E10" s="9" t="s">
        <v>46</v>
      </c>
      <c r="F10" s="9" t="s">
        <v>50</v>
      </c>
      <c r="G10" s="9" t="s">
        <v>52</v>
      </c>
      <c r="H10" s="11"/>
    </row>
    <row r="11" spans="1:9" ht="12.75">
      <c r="A11" s="2" t="s">
        <v>6</v>
      </c>
      <c r="B11" s="5"/>
      <c r="C11" s="102" t="s">
        <v>6</v>
      </c>
      <c r="D11" s="87"/>
      <c r="E11" s="13">
        <f>'Stavební rozpočet'!J12</f>
        <v>0</v>
      </c>
      <c r="F11" s="13">
        <f>'Stavební rozpočet'!K12</f>
        <v>0</v>
      </c>
      <c r="G11" s="13">
        <f>'Stavební rozpočet'!L12</f>
        <v>0</v>
      </c>
      <c r="H11" s="12" t="s">
        <v>53</v>
      </c>
      <c r="I11" s="12">
        <f aca="true" t="shared" si="0" ref="I11:I42">IF(H11="F",0,G11)</f>
        <v>0</v>
      </c>
    </row>
    <row r="12" spans="1:9" ht="12.75">
      <c r="A12" s="3" t="s">
        <v>6</v>
      </c>
      <c r="B12" s="6" t="s">
        <v>9</v>
      </c>
      <c r="C12" s="96" t="s">
        <v>25</v>
      </c>
      <c r="D12" s="87"/>
      <c r="E12" s="12">
        <f>'Stavební rozpočet'!J13</f>
        <v>0</v>
      </c>
      <c r="F12" s="12">
        <f>'Stavební rozpočet'!K13</f>
        <v>0</v>
      </c>
      <c r="G12" s="12">
        <f>'Stavební rozpočet'!L13</f>
        <v>0</v>
      </c>
      <c r="H12" s="12" t="s">
        <v>54</v>
      </c>
      <c r="I12" s="12">
        <f t="shared" si="0"/>
        <v>0</v>
      </c>
    </row>
    <row r="13" spans="1:9" ht="12.75">
      <c r="A13" s="3" t="s">
        <v>6</v>
      </c>
      <c r="B13" s="6" t="s">
        <v>10</v>
      </c>
      <c r="C13" s="96" t="s">
        <v>26</v>
      </c>
      <c r="D13" s="87"/>
      <c r="E13" s="12">
        <f>'Stavební rozpočet'!J17</f>
        <v>0</v>
      </c>
      <c r="F13" s="12">
        <f>'Stavební rozpočet'!K17</f>
        <v>0</v>
      </c>
      <c r="G13" s="12">
        <f>'Stavební rozpočet'!L17</f>
        <v>0</v>
      </c>
      <c r="H13" s="12" t="s">
        <v>54</v>
      </c>
      <c r="I13" s="12">
        <f t="shared" si="0"/>
        <v>0</v>
      </c>
    </row>
    <row r="14" spans="1:9" ht="12.75">
      <c r="A14" s="3" t="s">
        <v>6</v>
      </c>
      <c r="B14" s="6" t="s">
        <v>11</v>
      </c>
      <c r="C14" s="96" t="s">
        <v>27</v>
      </c>
      <c r="D14" s="87"/>
      <c r="E14" s="12">
        <f>'Stavební rozpočet'!J28</f>
        <v>0</v>
      </c>
      <c r="F14" s="12">
        <f>'Stavební rozpočet'!K28</f>
        <v>0</v>
      </c>
      <c r="G14" s="12">
        <f>'Stavební rozpočet'!L28</f>
        <v>0</v>
      </c>
      <c r="H14" s="12" t="s">
        <v>54</v>
      </c>
      <c r="I14" s="12">
        <f t="shared" si="0"/>
        <v>0</v>
      </c>
    </row>
    <row r="15" spans="1:9" ht="12.75">
      <c r="A15" s="3" t="s">
        <v>6</v>
      </c>
      <c r="B15" s="6" t="s">
        <v>12</v>
      </c>
      <c r="C15" s="96" t="s">
        <v>28</v>
      </c>
      <c r="D15" s="87"/>
      <c r="E15" s="12">
        <f>'Stavební rozpočet'!J32</f>
        <v>0</v>
      </c>
      <c r="F15" s="12">
        <f>'Stavební rozpočet'!K32</f>
        <v>0</v>
      </c>
      <c r="G15" s="12">
        <f>'Stavební rozpočet'!L32</f>
        <v>0</v>
      </c>
      <c r="H15" s="12" t="s">
        <v>54</v>
      </c>
      <c r="I15" s="12">
        <f t="shared" si="0"/>
        <v>0</v>
      </c>
    </row>
    <row r="16" spans="1:9" ht="12.75">
      <c r="A16" s="3" t="s">
        <v>6</v>
      </c>
      <c r="B16" s="6" t="s">
        <v>13</v>
      </c>
      <c r="C16" s="96" t="s">
        <v>29</v>
      </c>
      <c r="D16" s="87"/>
      <c r="E16" s="12">
        <f>'Stavební rozpočet'!J37</f>
        <v>0</v>
      </c>
      <c r="F16" s="12">
        <f>'Stavební rozpočet'!K37</f>
        <v>0</v>
      </c>
      <c r="G16" s="12">
        <f>'Stavební rozpočet'!L37</f>
        <v>0</v>
      </c>
      <c r="H16" s="12" t="s">
        <v>54</v>
      </c>
      <c r="I16" s="12">
        <f t="shared" si="0"/>
        <v>0</v>
      </c>
    </row>
    <row r="17" spans="1:9" ht="12.75">
      <c r="A17" s="3" t="s">
        <v>6</v>
      </c>
      <c r="B17" s="6" t="s">
        <v>14</v>
      </c>
      <c r="C17" s="96" t="s">
        <v>30</v>
      </c>
      <c r="D17" s="87"/>
      <c r="E17" s="12">
        <f>'Stavební rozpočet'!J43</f>
        <v>0</v>
      </c>
      <c r="F17" s="12">
        <f>'Stavební rozpočet'!K43</f>
        <v>0</v>
      </c>
      <c r="G17" s="12">
        <f>'Stavební rozpočet'!L43</f>
        <v>0</v>
      </c>
      <c r="H17" s="12" t="s">
        <v>54</v>
      </c>
      <c r="I17" s="12">
        <f t="shared" si="0"/>
        <v>0</v>
      </c>
    </row>
    <row r="18" spans="1:9" ht="12.75">
      <c r="A18" s="3" t="s">
        <v>6</v>
      </c>
      <c r="B18" s="6" t="s">
        <v>15</v>
      </c>
      <c r="C18" s="96" t="s">
        <v>31</v>
      </c>
      <c r="D18" s="87"/>
      <c r="E18" s="12">
        <f>'Stavební rozpočet'!J45</f>
        <v>0</v>
      </c>
      <c r="F18" s="12">
        <f>'Stavební rozpočet'!K45</f>
        <v>0</v>
      </c>
      <c r="G18" s="12">
        <f>'Stavební rozpočet'!L45</f>
        <v>0</v>
      </c>
      <c r="H18" s="12" t="s">
        <v>54</v>
      </c>
      <c r="I18" s="12">
        <f t="shared" si="0"/>
        <v>0</v>
      </c>
    </row>
    <row r="19" spans="1:9" ht="12.75">
      <c r="A19" s="3" t="s">
        <v>6</v>
      </c>
      <c r="B19" s="6" t="s">
        <v>16</v>
      </c>
      <c r="C19" s="96" t="s">
        <v>32</v>
      </c>
      <c r="D19" s="87"/>
      <c r="E19" s="12">
        <f>'Stavební rozpočet'!J47</f>
        <v>0</v>
      </c>
      <c r="F19" s="12">
        <f>'Stavební rozpočet'!K47</f>
        <v>0</v>
      </c>
      <c r="G19" s="12">
        <f>'Stavební rozpočet'!L47</f>
        <v>0</v>
      </c>
      <c r="H19" s="12" t="s">
        <v>54</v>
      </c>
      <c r="I19" s="12">
        <f t="shared" si="0"/>
        <v>0</v>
      </c>
    </row>
    <row r="20" spans="1:9" ht="12.75">
      <c r="A20" s="3" t="s">
        <v>6</v>
      </c>
      <c r="B20" s="6" t="s">
        <v>17</v>
      </c>
      <c r="C20" s="96" t="s">
        <v>33</v>
      </c>
      <c r="D20" s="87"/>
      <c r="E20" s="12">
        <f>'Stavební rozpočet'!J61</f>
        <v>0</v>
      </c>
      <c r="F20" s="12">
        <f>'Stavební rozpočet'!K61</f>
        <v>0</v>
      </c>
      <c r="G20" s="12">
        <f>'Stavební rozpočet'!L61</f>
        <v>0</v>
      </c>
      <c r="H20" s="12" t="s">
        <v>54</v>
      </c>
      <c r="I20" s="12">
        <f t="shared" si="0"/>
        <v>0</v>
      </c>
    </row>
    <row r="21" spans="1:9" ht="12.75">
      <c r="A21" s="3" t="s">
        <v>6</v>
      </c>
      <c r="B21" s="6" t="s">
        <v>18</v>
      </c>
      <c r="C21" s="96" t="s">
        <v>34</v>
      </c>
      <c r="D21" s="87"/>
      <c r="E21" s="12">
        <f>'Stavební rozpočet'!J66</f>
        <v>0</v>
      </c>
      <c r="F21" s="12">
        <f>'Stavební rozpočet'!K66</f>
        <v>0</v>
      </c>
      <c r="G21" s="12">
        <f>'Stavební rozpočet'!L66</f>
        <v>0</v>
      </c>
      <c r="H21" s="12" t="s">
        <v>54</v>
      </c>
      <c r="I21" s="12">
        <f t="shared" si="0"/>
        <v>0</v>
      </c>
    </row>
    <row r="22" spans="1:9" ht="12.75">
      <c r="A22" s="3" t="s">
        <v>6</v>
      </c>
      <c r="B22" s="6" t="s">
        <v>19</v>
      </c>
      <c r="C22" s="96" t="s">
        <v>35</v>
      </c>
      <c r="D22" s="87"/>
      <c r="E22" s="12">
        <f>'Stavební rozpočet'!J70</f>
        <v>0</v>
      </c>
      <c r="F22" s="12">
        <f>'Stavební rozpočet'!K70</f>
        <v>0</v>
      </c>
      <c r="G22" s="12">
        <f>'Stavební rozpočet'!L70</f>
        <v>0</v>
      </c>
      <c r="H22" s="12" t="s">
        <v>54</v>
      </c>
      <c r="I22" s="12">
        <f t="shared" si="0"/>
        <v>0</v>
      </c>
    </row>
    <row r="23" spans="1:9" ht="12.75">
      <c r="A23" s="3" t="s">
        <v>6</v>
      </c>
      <c r="B23" s="6" t="s">
        <v>20</v>
      </c>
      <c r="C23" s="96" t="s">
        <v>36</v>
      </c>
      <c r="D23" s="87"/>
      <c r="E23" s="12">
        <f>'Stavební rozpočet'!J72</f>
        <v>0</v>
      </c>
      <c r="F23" s="12">
        <f>'Stavební rozpočet'!K72</f>
        <v>0</v>
      </c>
      <c r="G23" s="12">
        <f>'Stavební rozpočet'!L72</f>
        <v>0</v>
      </c>
      <c r="H23" s="12" t="s">
        <v>54</v>
      </c>
      <c r="I23" s="12">
        <f t="shared" si="0"/>
        <v>0</v>
      </c>
    </row>
    <row r="24" spans="1:9" ht="12.75">
      <c r="A24" s="3" t="s">
        <v>6</v>
      </c>
      <c r="B24" s="6" t="s">
        <v>21</v>
      </c>
      <c r="C24" s="96" t="s">
        <v>37</v>
      </c>
      <c r="D24" s="87"/>
      <c r="E24" s="12">
        <f>'Stavební rozpočet'!J88</f>
        <v>0</v>
      </c>
      <c r="F24" s="12">
        <f>'Stavební rozpočet'!K88</f>
        <v>0</v>
      </c>
      <c r="G24" s="12">
        <f>'Stavební rozpočet'!L88</f>
        <v>0</v>
      </c>
      <c r="H24" s="12" t="s">
        <v>54</v>
      </c>
      <c r="I24" s="12">
        <f t="shared" si="0"/>
        <v>0</v>
      </c>
    </row>
    <row r="25" spans="1:9" ht="12.75">
      <c r="A25" s="3" t="s">
        <v>6</v>
      </c>
      <c r="B25" s="6" t="s">
        <v>22</v>
      </c>
      <c r="C25" s="96" t="s">
        <v>38</v>
      </c>
      <c r="D25" s="87"/>
      <c r="E25" s="12">
        <f>'Stavební rozpočet'!J92</f>
        <v>0</v>
      </c>
      <c r="F25" s="12">
        <f>'Stavební rozpočet'!K92</f>
        <v>0</v>
      </c>
      <c r="G25" s="12">
        <f>'Stavební rozpočet'!L92</f>
        <v>0</v>
      </c>
      <c r="H25" s="12" t="s">
        <v>54</v>
      </c>
      <c r="I25" s="12">
        <f t="shared" si="0"/>
        <v>0</v>
      </c>
    </row>
    <row r="26" spans="1:9" ht="12.75">
      <c r="A26" s="3" t="s">
        <v>6</v>
      </c>
      <c r="B26" s="6" t="s">
        <v>23</v>
      </c>
      <c r="C26" s="96" t="s">
        <v>39</v>
      </c>
      <c r="D26" s="87"/>
      <c r="E26" s="12">
        <f>'Stavební rozpočet'!J94</f>
        <v>0</v>
      </c>
      <c r="F26" s="12">
        <f>'Stavební rozpočet'!K94</f>
        <v>0</v>
      </c>
      <c r="G26" s="12">
        <f>'Stavební rozpočet'!L94</f>
        <v>0</v>
      </c>
      <c r="H26" s="12" t="s">
        <v>54</v>
      </c>
      <c r="I26" s="12">
        <f t="shared" si="0"/>
        <v>0</v>
      </c>
    </row>
    <row r="27" spans="1:9" ht="12.75">
      <c r="A27" s="3" t="s">
        <v>7</v>
      </c>
      <c r="B27" s="6"/>
      <c r="C27" s="96" t="s">
        <v>7</v>
      </c>
      <c r="D27" s="87"/>
      <c r="E27" s="12">
        <f>'Stavební rozpočet'!J100</f>
        <v>0</v>
      </c>
      <c r="F27" s="12">
        <f>'Stavební rozpočet'!K100</f>
        <v>0</v>
      </c>
      <c r="G27" s="12">
        <f>'Stavební rozpočet'!L100</f>
        <v>0</v>
      </c>
      <c r="H27" s="12" t="s">
        <v>53</v>
      </c>
      <c r="I27" s="12">
        <f t="shared" si="0"/>
        <v>0</v>
      </c>
    </row>
    <row r="28" spans="1:9" ht="12.75">
      <c r="A28" s="3" t="s">
        <v>7</v>
      </c>
      <c r="B28" s="6" t="s">
        <v>9</v>
      </c>
      <c r="C28" s="96" t="s">
        <v>25</v>
      </c>
      <c r="D28" s="87"/>
      <c r="E28" s="12">
        <f>'Stavební rozpočet'!J101</f>
        <v>0</v>
      </c>
      <c r="F28" s="12">
        <f>'Stavební rozpočet'!K101</f>
        <v>0</v>
      </c>
      <c r="G28" s="12">
        <f>'Stavební rozpočet'!L101</f>
        <v>0</v>
      </c>
      <c r="H28" s="12" t="s">
        <v>54</v>
      </c>
      <c r="I28" s="12">
        <f t="shared" si="0"/>
        <v>0</v>
      </c>
    </row>
    <row r="29" spans="1:9" ht="12.75">
      <c r="A29" s="3" t="s">
        <v>7</v>
      </c>
      <c r="B29" s="6" t="s">
        <v>10</v>
      </c>
      <c r="C29" s="96" t="s">
        <v>26</v>
      </c>
      <c r="D29" s="87"/>
      <c r="E29" s="12">
        <f>'Stavební rozpočet'!J103</f>
        <v>0</v>
      </c>
      <c r="F29" s="12">
        <f>'Stavební rozpočet'!K103</f>
        <v>0</v>
      </c>
      <c r="G29" s="12">
        <f>'Stavební rozpočet'!L103</f>
        <v>0</v>
      </c>
      <c r="H29" s="12" t="s">
        <v>54</v>
      </c>
      <c r="I29" s="12">
        <f t="shared" si="0"/>
        <v>0</v>
      </c>
    </row>
    <row r="30" spans="1:9" ht="12.75">
      <c r="A30" s="3" t="s">
        <v>7</v>
      </c>
      <c r="B30" s="6" t="s">
        <v>11</v>
      </c>
      <c r="C30" s="96" t="s">
        <v>27</v>
      </c>
      <c r="D30" s="87"/>
      <c r="E30" s="12">
        <f>'Stavební rozpočet'!J114</f>
        <v>0</v>
      </c>
      <c r="F30" s="12">
        <f>'Stavební rozpočet'!K114</f>
        <v>0</v>
      </c>
      <c r="G30" s="12">
        <f>'Stavební rozpočet'!L114</f>
        <v>0</v>
      </c>
      <c r="H30" s="12" t="s">
        <v>54</v>
      </c>
      <c r="I30" s="12">
        <f t="shared" si="0"/>
        <v>0</v>
      </c>
    </row>
    <row r="31" spans="1:9" ht="12.75">
      <c r="A31" s="3" t="s">
        <v>7</v>
      </c>
      <c r="B31" s="6" t="s">
        <v>12</v>
      </c>
      <c r="C31" s="96" t="s">
        <v>28</v>
      </c>
      <c r="D31" s="87"/>
      <c r="E31" s="12">
        <f>'Stavební rozpočet'!J118</f>
        <v>0</v>
      </c>
      <c r="F31" s="12">
        <f>'Stavební rozpočet'!K118</f>
        <v>0</v>
      </c>
      <c r="G31" s="12">
        <f>'Stavební rozpočet'!L118</f>
        <v>0</v>
      </c>
      <c r="H31" s="12" t="s">
        <v>54</v>
      </c>
      <c r="I31" s="12">
        <f t="shared" si="0"/>
        <v>0</v>
      </c>
    </row>
    <row r="32" spans="1:9" ht="12.75">
      <c r="A32" s="3" t="s">
        <v>7</v>
      </c>
      <c r="B32" s="6" t="s">
        <v>13</v>
      </c>
      <c r="C32" s="96" t="s">
        <v>29</v>
      </c>
      <c r="D32" s="87"/>
      <c r="E32" s="12">
        <f>'Stavební rozpočet'!J123</f>
        <v>0</v>
      </c>
      <c r="F32" s="12">
        <f>'Stavební rozpočet'!K123</f>
        <v>0</v>
      </c>
      <c r="G32" s="12">
        <f>'Stavební rozpočet'!L123</f>
        <v>0</v>
      </c>
      <c r="H32" s="12" t="s">
        <v>54</v>
      </c>
      <c r="I32" s="12">
        <f t="shared" si="0"/>
        <v>0</v>
      </c>
    </row>
    <row r="33" spans="1:9" ht="12.75">
      <c r="A33" s="3" t="s">
        <v>7</v>
      </c>
      <c r="B33" s="6" t="s">
        <v>14</v>
      </c>
      <c r="C33" s="96" t="s">
        <v>30</v>
      </c>
      <c r="D33" s="87"/>
      <c r="E33" s="12">
        <f>'Stavební rozpočet'!J129</f>
        <v>0</v>
      </c>
      <c r="F33" s="12">
        <f>'Stavební rozpočet'!K129</f>
        <v>0</v>
      </c>
      <c r="G33" s="12">
        <f>'Stavební rozpočet'!L129</f>
        <v>0</v>
      </c>
      <c r="H33" s="12" t="s">
        <v>54</v>
      </c>
      <c r="I33" s="12">
        <f t="shared" si="0"/>
        <v>0</v>
      </c>
    </row>
    <row r="34" spans="1:9" ht="12.75">
      <c r="A34" s="3" t="s">
        <v>7</v>
      </c>
      <c r="B34" s="6" t="s">
        <v>15</v>
      </c>
      <c r="C34" s="96" t="s">
        <v>31</v>
      </c>
      <c r="D34" s="87"/>
      <c r="E34" s="12">
        <f>'Stavební rozpočet'!J131</f>
        <v>0</v>
      </c>
      <c r="F34" s="12">
        <f>'Stavební rozpočet'!K131</f>
        <v>0</v>
      </c>
      <c r="G34" s="12">
        <f>'Stavební rozpočet'!L131</f>
        <v>0</v>
      </c>
      <c r="H34" s="12" t="s">
        <v>54</v>
      </c>
      <c r="I34" s="12">
        <f t="shared" si="0"/>
        <v>0</v>
      </c>
    </row>
    <row r="35" spans="1:9" ht="12.75">
      <c r="A35" s="3" t="s">
        <v>7</v>
      </c>
      <c r="B35" s="6" t="s">
        <v>16</v>
      </c>
      <c r="C35" s="96" t="s">
        <v>32</v>
      </c>
      <c r="D35" s="87"/>
      <c r="E35" s="12">
        <f>'Stavební rozpočet'!J133</f>
        <v>0</v>
      </c>
      <c r="F35" s="12">
        <f>'Stavební rozpočet'!K133</f>
        <v>0</v>
      </c>
      <c r="G35" s="12">
        <f>'Stavební rozpočet'!L133</f>
        <v>0</v>
      </c>
      <c r="H35" s="12" t="s">
        <v>54</v>
      </c>
      <c r="I35" s="12">
        <f t="shared" si="0"/>
        <v>0</v>
      </c>
    </row>
    <row r="36" spans="1:9" ht="12.75">
      <c r="A36" s="3" t="s">
        <v>7</v>
      </c>
      <c r="B36" s="6" t="s">
        <v>17</v>
      </c>
      <c r="C36" s="96" t="s">
        <v>33</v>
      </c>
      <c r="D36" s="87"/>
      <c r="E36" s="12">
        <f>'Stavební rozpočet'!J147</f>
        <v>0</v>
      </c>
      <c r="F36" s="12">
        <f>'Stavební rozpočet'!K147</f>
        <v>0</v>
      </c>
      <c r="G36" s="12">
        <f>'Stavební rozpočet'!L147</f>
        <v>0</v>
      </c>
      <c r="H36" s="12" t="s">
        <v>54</v>
      </c>
      <c r="I36" s="12">
        <f t="shared" si="0"/>
        <v>0</v>
      </c>
    </row>
    <row r="37" spans="1:9" ht="12.75">
      <c r="A37" s="3" t="s">
        <v>7</v>
      </c>
      <c r="B37" s="6" t="s">
        <v>18</v>
      </c>
      <c r="C37" s="96" t="s">
        <v>34</v>
      </c>
      <c r="D37" s="87"/>
      <c r="E37" s="12">
        <f>'Stavební rozpočet'!J152</f>
        <v>0</v>
      </c>
      <c r="F37" s="12">
        <f>'Stavební rozpočet'!K152</f>
        <v>0</v>
      </c>
      <c r="G37" s="12">
        <f>'Stavební rozpočet'!L152</f>
        <v>0</v>
      </c>
      <c r="H37" s="12" t="s">
        <v>54</v>
      </c>
      <c r="I37" s="12">
        <f t="shared" si="0"/>
        <v>0</v>
      </c>
    </row>
    <row r="38" spans="1:9" ht="12.75">
      <c r="A38" s="3" t="s">
        <v>7</v>
      </c>
      <c r="B38" s="6" t="s">
        <v>19</v>
      </c>
      <c r="C38" s="96" t="s">
        <v>35</v>
      </c>
      <c r="D38" s="87"/>
      <c r="E38" s="12">
        <f>'Stavební rozpočet'!J156</f>
        <v>0</v>
      </c>
      <c r="F38" s="12">
        <f>'Stavební rozpočet'!K156</f>
        <v>0</v>
      </c>
      <c r="G38" s="12">
        <f>'Stavební rozpočet'!L156</f>
        <v>0</v>
      </c>
      <c r="H38" s="12" t="s">
        <v>54</v>
      </c>
      <c r="I38" s="12">
        <f t="shared" si="0"/>
        <v>0</v>
      </c>
    </row>
    <row r="39" spans="1:9" ht="12.75">
      <c r="A39" s="3" t="s">
        <v>7</v>
      </c>
      <c r="B39" s="6" t="s">
        <v>20</v>
      </c>
      <c r="C39" s="96" t="s">
        <v>36</v>
      </c>
      <c r="D39" s="87"/>
      <c r="E39" s="12">
        <f>'Stavební rozpočet'!J158</f>
        <v>0</v>
      </c>
      <c r="F39" s="12">
        <f>'Stavební rozpočet'!K158</f>
        <v>0</v>
      </c>
      <c r="G39" s="12">
        <f>'Stavební rozpočet'!L158</f>
        <v>0</v>
      </c>
      <c r="H39" s="12" t="s">
        <v>54</v>
      </c>
      <c r="I39" s="12">
        <f t="shared" si="0"/>
        <v>0</v>
      </c>
    </row>
    <row r="40" spans="1:9" ht="12.75">
      <c r="A40" s="3" t="s">
        <v>7</v>
      </c>
      <c r="B40" s="6" t="s">
        <v>21</v>
      </c>
      <c r="C40" s="96" t="s">
        <v>37</v>
      </c>
      <c r="D40" s="87"/>
      <c r="E40" s="12">
        <f>'Stavební rozpočet'!J173</f>
        <v>0</v>
      </c>
      <c r="F40" s="12">
        <f>'Stavební rozpočet'!K173</f>
        <v>0</v>
      </c>
      <c r="G40" s="12">
        <f>'Stavební rozpočet'!L173</f>
        <v>0</v>
      </c>
      <c r="H40" s="12" t="s">
        <v>54</v>
      </c>
      <c r="I40" s="12">
        <f t="shared" si="0"/>
        <v>0</v>
      </c>
    </row>
    <row r="41" spans="1:9" ht="12.75">
      <c r="A41" s="3" t="s">
        <v>7</v>
      </c>
      <c r="B41" s="6" t="s">
        <v>22</v>
      </c>
      <c r="C41" s="96" t="s">
        <v>38</v>
      </c>
      <c r="D41" s="87"/>
      <c r="E41" s="12">
        <f>'Stavební rozpočet'!J177</f>
        <v>0</v>
      </c>
      <c r="F41" s="12">
        <f>'Stavební rozpočet'!K177</f>
        <v>0</v>
      </c>
      <c r="G41" s="12">
        <f>'Stavební rozpočet'!L177</f>
        <v>0</v>
      </c>
      <c r="H41" s="12" t="s">
        <v>54</v>
      </c>
      <c r="I41" s="12">
        <f t="shared" si="0"/>
        <v>0</v>
      </c>
    </row>
    <row r="42" spans="1:9" ht="12.75">
      <c r="A42" s="3" t="s">
        <v>7</v>
      </c>
      <c r="B42" s="6" t="s">
        <v>23</v>
      </c>
      <c r="C42" s="96" t="s">
        <v>39</v>
      </c>
      <c r="D42" s="87"/>
      <c r="E42" s="12">
        <f>'Stavební rozpočet'!J179</f>
        <v>0</v>
      </c>
      <c r="F42" s="12">
        <f>'Stavební rozpočet'!K179</f>
        <v>0</v>
      </c>
      <c r="G42" s="12">
        <f>'Stavební rozpočet'!L179</f>
        <v>0</v>
      </c>
      <c r="H42" s="12" t="s">
        <v>54</v>
      </c>
      <c r="I42" s="12">
        <f t="shared" si="0"/>
        <v>0</v>
      </c>
    </row>
    <row r="43" spans="6:7" ht="12.75">
      <c r="F43" s="10" t="s">
        <v>51</v>
      </c>
      <c r="G43" s="14">
        <f>SUM(I11:I42)</f>
        <v>0</v>
      </c>
    </row>
  </sheetData>
  <sheetProtection/>
  <mergeCells count="57">
    <mergeCell ref="C41:D41"/>
    <mergeCell ref="C42:D4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1"/>
      <c r="B1" s="15"/>
      <c r="C1" s="103" t="s">
        <v>74</v>
      </c>
      <c r="D1" s="83"/>
      <c r="E1" s="83"/>
      <c r="F1" s="83"/>
      <c r="G1" s="83"/>
      <c r="H1" s="83"/>
      <c r="I1" s="83"/>
    </row>
    <row r="2" spans="1:10" ht="12.75">
      <c r="A2" s="84" t="s">
        <v>1</v>
      </c>
      <c r="B2" s="85"/>
      <c r="C2" s="88" t="str">
        <f>'Stavební rozpočet'!C2</f>
        <v>Stavební úpravy</v>
      </c>
      <c r="D2" s="104"/>
      <c r="E2" s="91" t="s">
        <v>47</v>
      </c>
      <c r="F2" s="91" t="str">
        <f>'Stavební rozpočet'!J2</f>
        <v>Město Kolín</v>
      </c>
      <c r="G2" s="85"/>
      <c r="H2" s="91" t="s">
        <v>99</v>
      </c>
      <c r="I2" s="105"/>
      <c r="J2" s="11"/>
    </row>
    <row r="3" spans="1:10" ht="12.75">
      <c r="A3" s="86"/>
      <c r="B3" s="87"/>
      <c r="C3" s="89"/>
      <c r="D3" s="89"/>
      <c r="E3" s="87"/>
      <c r="F3" s="87"/>
      <c r="G3" s="87"/>
      <c r="H3" s="87"/>
      <c r="I3" s="93"/>
      <c r="J3" s="11"/>
    </row>
    <row r="4" spans="1:10" ht="12.75">
      <c r="A4" s="94" t="s">
        <v>2</v>
      </c>
      <c r="B4" s="87"/>
      <c r="C4" s="95" t="str">
        <f>'Stavební rozpočet'!C4</f>
        <v>Bourací práce a nové konstrukce</v>
      </c>
      <c r="D4" s="87"/>
      <c r="E4" s="95" t="s">
        <v>48</v>
      </c>
      <c r="F4" s="95" t="str">
        <f>'Stavební rozpočet'!J4</f>
        <v>Vít Ledvina</v>
      </c>
      <c r="G4" s="87"/>
      <c r="H4" s="95" t="s">
        <v>99</v>
      </c>
      <c r="I4" s="106"/>
      <c r="J4" s="11"/>
    </row>
    <row r="5" spans="1:10" ht="12.75">
      <c r="A5" s="86"/>
      <c r="B5" s="87"/>
      <c r="C5" s="87"/>
      <c r="D5" s="87"/>
      <c r="E5" s="87"/>
      <c r="F5" s="87"/>
      <c r="G5" s="87"/>
      <c r="H5" s="87"/>
      <c r="I5" s="93"/>
      <c r="J5" s="11"/>
    </row>
    <row r="6" spans="1:10" ht="12.75">
      <c r="A6" s="94" t="s">
        <v>3</v>
      </c>
      <c r="B6" s="87"/>
      <c r="C6" s="95" t="str">
        <f>'Stavební rozpočet'!C6</f>
        <v>Zengerova 357, byt č. 3 a 17</v>
      </c>
      <c r="D6" s="87"/>
      <c r="E6" s="95" t="s">
        <v>49</v>
      </c>
      <c r="F6" s="95" t="str">
        <f>'Stavební rozpočet'!J6</f>
        <v>Tridora group s.r.o.</v>
      </c>
      <c r="G6" s="87"/>
      <c r="H6" s="95" t="s">
        <v>99</v>
      </c>
      <c r="I6" s="106"/>
      <c r="J6" s="11"/>
    </row>
    <row r="7" spans="1:10" ht="12.75">
      <c r="A7" s="86"/>
      <c r="B7" s="87"/>
      <c r="C7" s="87"/>
      <c r="D7" s="87"/>
      <c r="E7" s="87"/>
      <c r="F7" s="87"/>
      <c r="G7" s="87"/>
      <c r="H7" s="87"/>
      <c r="I7" s="93"/>
      <c r="J7" s="11"/>
    </row>
    <row r="8" spans="1:10" ht="12.75">
      <c r="A8" s="94" t="s">
        <v>41</v>
      </c>
      <c r="B8" s="87"/>
      <c r="C8" s="95" t="str">
        <f>'Stavební rozpočet'!G4</f>
        <v> </v>
      </c>
      <c r="D8" s="87"/>
      <c r="E8" s="95" t="s">
        <v>42</v>
      </c>
      <c r="F8" s="95" t="str">
        <f>'Stavební rozpočet'!G6</f>
        <v> </v>
      </c>
      <c r="G8" s="87"/>
      <c r="H8" s="96" t="s">
        <v>100</v>
      </c>
      <c r="I8" s="106" t="s">
        <v>103</v>
      </c>
      <c r="J8" s="11"/>
    </row>
    <row r="9" spans="1:10" ht="12.75">
      <c r="A9" s="86"/>
      <c r="B9" s="87"/>
      <c r="C9" s="87"/>
      <c r="D9" s="87"/>
      <c r="E9" s="87"/>
      <c r="F9" s="87"/>
      <c r="G9" s="87"/>
      <c r="H9" s="87"/>
      <c r="I9" s="93"/>
      <c r="J9" s="11"/>
    </row>
    <row r="10" spans="1:10" ht="12.75">
      <c r="A10" s="94" t="s">
        <v>55</v>
      </c>
      <c r="B10" s="87"/>
      <c r="C10" s="95" t="str">
        <f>'Stavební rozpočet'!C8</f>
        <v> </v>
      </c>
      <c r="D10" s="87"/>
      <c r="E10" s="95" t="s">
        <v>4</v>
      </c>
      <c r="F10" s="95" t="str">
        <f>'Stavební rozpočet'!J8</f>
        <v> </v>
      </c>
      <c r="G10" s="87"/>
      <c r="H10" s="96" t="s">
        <v>101</v>
      </c>
      <c r="I10" s="97" t="str">
        <f>'Stavební rozpočet'!G8</f>
        <v>10.12.2021</v>
      </c>
      <c r="J10" s="11"/>
    </row>
    <row r="11" spans="1:10" ht="12.75">
      <c r="A11" s="107"/>
      <c r="B11" s="100"/>
      <c r="C11" s="100"/>
      <c r="D11" s="100"/>
      <c r="E11" s="100"/>
      <c r="F11" s="100"/>
      <c r="G11" s="100"/>
      <c r="H11" s="100"/>
      <c r="I11" s="108"/>
      <c r="J11" s="11"/>
    </row>
    <row r="12" spans="1:9" ht="23.25" customHeight="1">
      <c r="A12" s="109" t="s">
        <v>56</v>
      </c>
      <c r="B12" s="110"/>
      <c r="C12" s="110"/>
      <c r="D12" s="110"/>
      <c r="E12" s="110"/>
      <c r="F12" s="110"/>
      <c r="G12" s="110"/>
      <c r="H12" s="110"/>
      <c r="I12" s="110"/>
    </row>
    <row r="13" spans="1:10" ht="26.25" customHeight="1">
      <c r="A13" s="16" t="s">
        <v>57</v>
      </c>
      <c r="B13" s="111" t="s">
        <v>71</v>
      </c>
      <c r="C13" s="112"/>
      <c r="D13" s="16" t="s">
        <v>75</v>
      </c>
      <c r="E13" s="111" t="s">
        <v>84</v>
      </c>
      <c r="F13" s="112"/>
      <c r="G13" s="16" t="s">
        <v>85</v>
      </c>
      <c r="H13" s="111" t="s">
        <v>102</v>
      </c>
      <c r="I13" s="112"/>
      <c r="J13" s="11"/>
    </row>
    <row r="14" spans="1:10" ht="15" customHeight="1">
      <c r="A14" s="17" t="s">
        <v>58</v>
      </c>
      <c r="B14" s="22" t="s">
        <v>72</v>
      </c>
      <c r="C14" s="26">
        <f>SUM('Stavební rozpočet'!AB12:AB184)</f>
        <v>0</v>
      </c>
      <c r="D14" s="113" t="s">
        <v>76</v>
      </c>
      <c r="E14" s="114"/>
      <c r="F14" s="26">
        <f>VORN!I15</f>
        <v>0</v>
      </c>
      <c r="G14" s="113" t="s">
        <v>86</v>
      </c>
      <c r="H14" s="114"/>
      <c r="I14" s="26">
        <f>VORN!I21</f>
        <v>0</v>
      </c>
      <c r="J14" s="11"/>
    </row>
    <row r="15" spans="1:10" ht="15" customHeight="1">
      <c r="A15" s="18"/>
      <c r="B15" s="22" t="s">
        <v>73</v>
      </c>
      <c r="C15" s="26">
        <f>SUM('Stavební rozpočet'!AC12:AC184)</f>
        <v>0</v>
      </c>
      <c r="D15" s="113" t="s">
        <v>77</v>
      </c>
      <c r="E15" s="114"/>
      <c r="F15" s="26">
        <f>VORN!I16</f>
        <v>0</v>
      </c>
      <c r="G15" s="113" t="s">
        <v>87</v>
      </c>
      <c r="H15" s="114"/>
      <c r="I15" s="26">
        <f>VORN!I22</f>
        <v>0</v>
      </c>
      <c r="J15" s="11"/>
    </row>
    <row r="16" spans="1:10" ht="15" customHeight="1">
      <c r="A16" s="17" t="s">
        <v>59</v>
      </c>
      <c r="B16" s="22" t="s">
        <v>72</v>
      </c>
      <c r="C16" s="26">
        <f>SUM('Stavební rozpočet'!AD12:AD184)</f>
        <v>0</v>
      </c>
      <c r="D16" s="113" t="s">
        <v>78</v>
      </c>
      <c r="E16" s="114"/>
      <c r="F16" s="26">
        <f>VORN!I17</f>
        <v>0</v>
      </c>
      <c r="G16" s="113" t="s">
        <v>88</v>
      </c>
      <c r="H16" s="114"/>
      <c r="I16" s="26">
        <f>VORN!I23</f>
        <v>0</v>
      </c>
      <c r="J16" s="11"/>
    </row>
    <row r="17" spans="1:10" ht="15" customHeight="1">
      <c r="A17" s="18"/>
      <c r="B17" s="22" t="s">
        <v>73</v>
      </c>
      <c r="C17" s="26">
        <f>SUM('Stavební rozpočet'!AE12:AE184)</f>
        <v>0</v>
      </c>
      <c r="D17" s="113"/>
      <c r="E17" s="114"/>
      <c r="F17" s="27"/>
      <c r="G17" s="113" t="s">
        <v>89</v>
      </c>
      <c r="H17" s="114"/>
      <c r="I17" s="26">
        <f>VORN!I24</f>
        <v>0</v>
      </c>
      <c r="J17" s="11"/>
    </row>
    <row r="18" spans="1:10" ht="15" customHeight="1">
      <c r="A18" s="17" t="s">
        <v>60</v>
      </c>
      <c r="B18" s="22" t="s">
        <v>72</v>
      </c>
      <c r="C18" s="26">
        <f>SUM('Stavební rozpočet'!AF12:AF184)</f>
        <v>0</v>
      </c>
      <c r="D18" s="113"/>
      <c r="E18" s="114"/>
      <c r="F18" s="27"/>
      <c r="G18" s="113" t="s">
        <v>90</v>
      </c>
      <c r="H18" s="114"/>
      <c r="I18" s="26">
        <f>VORN!I25</f>
        <v>0</v>
      </c>
      <c r="J18" s="11"/>
    </row>
    <row r="19" spans="1:10" ht="15" customHeight="1">
      <c r="A19" s="18"/>
      <c r="B19" s="22" t="s">
        <v>73</v>
      </c>
      <c r="C19" s="26">
        <f>SUM('Stavební rozpočet'!AG12:AG184)</f>
        <v>0</v>
      </c>
      <c r="D19" s="113"/>
      <c r="E19" s="114"/>
      <c r="F19" s="27"/>
      <c r="G19" s="113" t="s">
        <v>91</v>
      </c>
      <c r="H19" s="114"/>
      <c r="I19" s="26">
        <f>VORN!I26</f>
        <v>0</v>
      </c>
      <c r="J19" s="11"/>
    </row>
    <row r="20" spans="1:10" ht="15" customHeight="1">
      <c r="A20" s="115" t="s">
        <v>61</v>
      </c>
      <c r="B20" s="116"/>
      <c r="C20" s="26">
        <f>SUM('Stavební rozpočet'!AH12:AH184)</f>
        <v>0</v>
      </c>
      <c r="D20" s="113"/>
      <c r="E20" s="114"/>
      <c r="F20" s="27"/>
      <c r="G20" s="113"/>
      <c r="H20" s="114"/>
      <c r="I20" s="27"/>
      <c r="J20" s="11"/>
    </row>
    <row r="21" spans="1:10" ht="15" customHeight="1">
      <c r="A21" s="115" t="s">
        <v>62</v>
      </c>
      <c r="B21" s="116"/>
      <c r="C21" s="26">
        <f>SUM('Stavební rozpočet'!Z12:Z184)</f>
        <v>0</v>
      </c>
      <c r="D21" s="113"/>
      <c r="E21" s="114"/>
      <c r="F21" s="27"/>
      <c r="G21" s="113"/>
      <c r="H21" s="114"/>
      <c r="I21" s="27"/>
      <c r="J21" s="11"/>
    </row>
    <row r="22" spans="1:10" ht="16.5" customHeight="1">
      <c r="A22" s="115" t="s">
        <v>63</v>
      </c>
      <c r="B22" s="116"/>
      <c r="C22" s="26">
        <f>SUM(C14:C21)</f>
        <v>0</v>
      </c>
      <c r="D22" s="115" t="s">
        <v>79</v>
      </c>
      <c r="E22" s="116"/>
      <c r="F22" s="26">
        <f>SUM(F14:F21)</f>
        <v>0</v>
      </c>
      <c r="G22" s="115" t="s">
        <v>92</v>
      </c>
      <c r="H22" s="116"/>
      <c r="I22" s="26">
        <f>SUM(I14:I21)</f>
        <v>0</v>
      </c>
      <c r="J22" s="11"/>
    </row>
    <row r="23" spans="1:10" ht="15" customHeight="1">
      <c r="A23" s="19"/>
      <c r="B23" s="19"/>
      <c r="C23" s="24"/>
      <c r="D23" s="115" t="s">
        <v>80</v>
      </c>
      <c r="E23" s="116"/>
      <c r="F23" s="28">
        <v>0</v>
      </c>
      <c r="G23" s="115" t="s">
        <v>93</v>
      </c>
      <c r="H23" s="116"/>
      <c r="I23" s="26">
        <v>0</v>
      </c>
      <c r="J23" s="11"/>
    </row>
    <row r="24" spans="4:10" ht="15" customHeight="1">
      <c r="D24" s="19"/>
      <c r="E24" s="19"/>
      <c r="F24" s="29"/>
      <c r="G24" s="115" t="s">
        <v>94</v>
      </c>
      <c r="H24" s="116"/>
      <c r="I24" s="26">
        <f>vorn_sum</f>
        <v>0</v>
      </c>
      <c r="J24" s="11"/>
    </row>
    <row r="25" spans="6:10" ht="15" customHeight="1">
      <c r="F25" s="30"/>
      <c r="G25" s="115" t="s">
        <v>95</v>
      </c>
      <c r="H25" s="116"/>
      <c r="I25" s="26">
        <v>0</v>
      </c>
      <c r="J25" s="11"/>
    </row>
    <row r="26" spans="1:9" ht="12.75">
      <c r="A26" s="15"/>
      <c r="B26" s="15"/>
      <c r="C26" s="15"/>
      <c r="G26" s="19"/>
      <c r="H26" s="19"/>
      <c r="I26" s="19"/>
    </row>
    <row r="27" spans="1:9" ht="15" customHeight="1">
      <c r="A27" s="117" t="s">
        <v>64</v>
      </c>
      <c r="B27" s="118"/>
      <c r="C27" s="32">
        <f>SUM('Stavební rozpočet'!AJ12:AJ184)</f>
        <v>0</v>
      </c>
      <c r="D27" s="25"/>
      <c r="E27" s="15"/>
      <c r="F27" s="15"/>
      <c r="G27" s="15"/>
      <c r="H27" s="15"/>
      <c r="I27" s="15"/>
    </row>
    <row r="28" spans="1:10" ht="15" customHeight="1">
      <c r="A28" s="117" t="s">
        <v>65</v>
      </c>
      <c r="B28" s="118"/>
      <c r="C28" s="32">
        <f>SUM('Stavební rozpočet'!AK12:AK184)</f>
        <v>0</v>
      </c>
      <c r="D28" s="117" t="s">
        <v>81</v>
      </c>
      <c r="E28" s="118"/>
      <c r="F28" s="32">
        <f>ROUND(C28*(15/100),2)</f>
        <v>0</v>
      </c>
      <c r="G28" s="117" t="s">
        <v>96</v>
      </c>
      <c r="H28" s="118"/>
      <c r="I28" s="32">
        <f>SUM(C27:C29)</f>
        <v>0</v>
      </c>
      <c r="J28" s="11"/>
    </row>
    <row r="29" spans="1:10" ht="15" customHeight="1">
      <c r="A29" s="117" t="s">
        <v>66</v>
      </c>
      <c r="B29" s="118"/>
      <c r="C29" s="32">
        <f>SUM('Stavební rozpočet'!AL12:AL184)+(F22+I22+F23+I23+I24+I25)</f>
        <v>0</v>
      </c>
      <c r="D29" s="117" t="s">
        <v>82</v>
      </c>
      <c r="E29" s="118"/>
      <c r="F29" s="32">
        <f>ROUND(C29*(21/100),2)</f>
        <v>0</v>
      </c>
      <c r="G29" s="117" t="s">
        <v>97</v>
      </c>
      <c r="H29" s="118"/>
      <c r="I29" s="32">
        <f>SUM(F28:F29)+I28</f>
        <v>0</v>
      </c>
      <c r="J29" s="11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10" ht="14.25" customHeight="1">
      <c r="A31" s="119" t="s">
        <v>67</v>
      </c>
      <c r="B31" s="120"/>
      <c r="C31" s="121"/>
      <c r="D31" s="119" t="s">
        <v>83</v>
      </c>
      <c r="E31" s="120"/>
      <c r="F31" s="121"/>
      <c r="G31" s="119" t="s">
        <v>98</v>
      </c>
      <c r="H31" s="120"/>
      <c r="I31" s="121"/>
      <c r="J31" s="31"/>
    </row>
    <row r="32" spans="1:10" ht="14.25" customHeight="1">
      <c r="A32" s="122"/>
      <c r="B32" s="123"/>
      <c r="C32" s="124"/>
      <c r="D32" s="122"/>
      <c r="E32" s="123"/>
      <c r="F32" s="124"/>
      <c r="G32" s="122"/>
      <c r="H32" s="123"/>
      <c r="I32" s="124"/>
      <c r="J32" s="31"/>
    </row>
    <row r="33" spans="1:10" ht="14.25" customHeight="1">
      <c r="A33" s="122"/>
      <c r="B33" s="123"/>
      <c r="C33" s="124"/>
      <c r="D33" s="122"/>
      <c r="E33" s="123"/>
      <c r="F33" s="124"/>
      <c r="G33" s="122"/>
      <c r="H33" s="123"/>
      <c r="I33" s="124"/>
      <c r="J33" s="31"/>
    </row>
    <row r="34" spans="1:10" ht="14.25" customHeight="1">
      <c r="A34" s="122"/>
      <c r="B34" s="123"/>
      <c r="C34" s="124"/>
      <c r="D34" s="122"/>
      <c r="E34" s="123"/>
      <c r="F34" s="124"/>
      <c r="G34" s="122"/>
      <c r="H34" s="123"/>
      <c r="I34" s="124"/>
      <c r="J34" s="31"/>
    </row>
    <row r="35" spans="1:10" ht="14.25" customHeight="1">
      <c r="A35" s="125" t="s">
        <v>68</v>
      </c>
      <c r="B35" s="126"/>
      <c r="C35" s="127"/>
      <c r="D35" s="125" t="s">
        <v>68</v>
      </c>
      <c r="E35" s="126"/>
      <c r="F35" s="127"/>
      <c r="G35" s="125" t="s">
        <v>68</v>
      </c>
      <c r="H35" s="126"/>
      <c r="I35" s="127"/>
      <c r="J35" s="31"/>
    </row>
    <row r="36" spans="1:9" ht="11.25" customHeight="1">
      <c r="A36" s="21" t="s">
        <v>69</v>
      </c>
      <c r="B36" s="23"/>
      <c r="C36" s="23"/>
      <c r="D36" s="23"/>
      <c r="E36" s="23"/>
      <c r="F36" s="23"/>
      <c r="G36" s="23"/>
      <c r="H36" s="23"/>
      <c r="I36" s="23"/>
    </row>
    <row r="37" spans="1:9" ht="25.5" customHeight="1">
      <c r="A37" s="95" t="s">
        <v>70</v>
      </c>
      <c r="B37" s="87"/>
      <c r="C37" s="87"/>
      <c r="D37" s="87"/>
      <c r="E37" s="87"/>
      <c r="F37" s="87"/>
      <c r="G37" s="87"/>
      <c r="H37" s="87"/>
      <c r="I37" s="8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40" sqref="F4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81"/>
      <c r="B1" s="15"/>
      <c r="C1" s="103" t="s">
        <v>113</v>
      </c>
      <c r="D1" s="83"/>
      <c r="E1" s="83"/>
      <c r="F1" s="83"/>
      <c r="G1" s="83"/>
      <c r="H1" s="83"/>
      <c r="I1" s="83"/>
    </row>
    <row r="2" spans="1:10" ht="12.75">
      <c r="A2" s="84" t="s">
        <v>1</v>
      </c>
      <c r="B2" s="85"/>
      <c r="C2" s="88" t="str">
        <f>'Stavební rozpočet'!C2</f>
        <v>Stavební úpravy</v>
      </c>
      <c r="D2" s="104"/>
      <c r="E2" s="91" t="s">
        <v>47</v>
      </c>
      <c r="F2" s="91" t="str">
        <f>'Stavební rozpočet'!J2</f>
        <v>Město Kolín</v>
      </c>
      <c r="G2" s="85"/>
      <c r="H2" s="91" t="s">
        <v>99</v>
      </c>
      <c r="I2" s="105"/>
      <c r="J2" s="11"/>
    </row>
    <row r="3" spans="1:10" ht="12.75">
      <c r="A3" s="86"/>
      <c r="B3" s="87"/>
      <c r="C3" s="89"/>
      <c r="D3" s="89"/>
      <c r="E3" s="87"/>
      <c r="F3" s="87"/>
      <c r="G3" s="87"/>
      <c r="H3" s="87"/>
      <c r="I3" s="93"/>
      <c r="J3" s="11"/>
    </row>
    <row r="4" spans="1:10" ht="12.75">
      <c r="A4" s="94" t="s">
        <v>2</v>
      </c>
      <c r="B4" s="87"/>
      <c r="C4" s="95" t="str">
        <f>'Stavební rozpočet'!C4</f>
        <v>Bourací práce a nové konstrukce</v>
      </c>
      <c r="D4" s="87"/>
      <c r="E4" s="95" t="s">
        <v>48</v>
      </c>
      <c r="F4" s="95" t="str">
        <f>'Stavební rozpočet'!J4</f>
        <v>Vít Ledvina</v>
      </c>
      <c r="G4" s="87"/>
      <c r="H4" s="95" t="s">
        <v>99</v>
      </c>
      <c r="I4" s="106"/>
      <c r="J4" s="11"/>
    </row>
    <row r="5" spans="1:10" ht="12.75">
      <c r="A5" s="86"/>
      <c r="B5" s="87"/>
      <c r="C5" s="87"/>
      <c r="D5" s="87"/>
      <c r="E5" s="87"/>
      <c r="F5" s="87"/>
      <c r="G5" s="87"/>
      <c r="H5" s="87"/>
      <c r="I5" s="93"/>
      <c r="J5" s="11"/>
    </row>
    <row r="6" spans="1:10" ht="12.75">
      <c r="A6" s="94" t="s">
        <v>3</v>
      </c>
      <c r="B6" s="87"/>
      <c r="C6" s="95" t="str">
        <f>'Stavební rozpočet'!C6</f>
        <v>Zengerova 357, byt č. 3 a 17</v>
      </c>
      <c r="D6" s="87"/>
      <c r="E6" s="95" t="s">
        <v>49</v>
      </c>
      <c r="F6" s="95" t="str">
        <f>'Stavební rozpočet'!J6</f>
        <v>Tridora group s.r.o.</v>
      </c>
      <c r="G6" s="87"/>
      <c r="H6" s="95" t="s">
        <v>99</v>
      </c>
      <c r="I6" s="106"/>
      <c r="J6" s="11"/>
    </row>
    <row r="7" spans="1:10" ht="12.75">
      <c r="A7" s="86"/>
      <c r="B7" s="87"/>
      <c r="C7" s="87"/>
      <c r="D7" s="87"/>
      <c r="E7" s="87"/>
      <c r="F7" s="87"/>
      <c r="G7" s="87"/>
      <c r="H7" s="87"/>
      <c r="I7" s="93"/>
      <c r="J7" s="11"/>
    </row>
    <row r="8" spans="1:10" ht="12.75">
      <c r="A8" s="94" t="s">
        <v>41</v>
      </c>
      <c r="B8" s="87"/>
      <c r="C8" s="95" t="str">
        <f>'Stavební rozpočet'!G4</f>
        <v> </v>
      </c>
      <c r="D8" s="87"/>
      <c r="E8" s="95" t="s">
        <v>42</v>
      </c>
      <c r="F8" s="95" t="str">
        <f>'Stavební rozpočet'!G6</f>
        <v> </v>
      </c>
      <c r="G8" s="87"/>
      <c r="H8" s="96" t="s">
        <v>100</v>
      </c>
      <c r="I8" s="106" t="s">
        <v>103</v>
      </c>
      <c r="J8" s="11"/>
    </row>
    <row r="9" spans="1:10" ht="12.75">
      <c r="A9" s="86"/>
      <c r="B9" s="87"/>
      <c r="C9" s="87"/>
      <c r="D9" s="87"/>
      <c r="E9" s="87"/>
      <c r="F9" s="87"/>
      <c r="G9" s="87"/>
      <c r="H9" s="87"/>
      <c r="I9" s="93"/>
      <c r="J9" s="11"/>
    </row>
    <row r="10" spans="1:10" ht="12.75">
      <c r="A10" s="94" t="s">
        <v>55</v>
      </c>
      <c r="B10" s="87"/>
      <c r="C10" s="95" t="str">
        <f>'Stavební rozpočet'!C8</f>
        <v> </v>
      </c>
      <c r="D10" s="87"/>
      <c r="E10" s="95" t="s">
        <v>4</v>
      </c>
      <c r="F10" s="95" t="str">
        <f>'Stavební rozpočet'!J8</f>
        <v> </v>
      </c>
      <c r="G10" s="87"/>
      <c r="H10" s="96" t="s">
        <v>101</v>
      </c>
      <c r="I10" s="97" t="str">
        <f>'Stavební rozpočet'!G8</f>
        <v>10.12.2021</v>
      </c>
      <c r="J10" s="11"/>
    </row>
    <row r="11" spans="1:10" ht="12.75">
      <c r="A11" s="107"/>
      <c r="B11" s="100"/>
      <c r="C11" s="100"/>
      <c r="D11" s="100"/>
      <c r="E11" s="100"/>
      <c r="F11" s="100"/>
      <c r="G11" s="100"/>
      <c r="H11" s="100"/>
      <c r="I11" s="108"/>
      <c r="J11" s="11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15" customHeight="1">
      <c r="A13" s="128" t="s">
        <v>104</v>
      </c>
      <c r="B13" s="129"/>
      <c r="C13" s="129"/>
      <c r="D13" s="129"/>
      <c r="E13" s="129"/>
      <c r="F13" s="34"/>
      <c r="G13" s="34"/>
      <c r="H13" s="34"/>
      <c r="I13" s="34"/>
    </row>
    <row r="14" spans="1:10" ht="12.75">
      <c r="A14" s="130" t="s">
        <v>105</v>
      </c>
      <c r="B14" s="131"/>
      <c r="C14" s="131"/>
      <c r="D14" s="131"/>
      <c r="E14" s="132"/>
      <c r="F14" s="35" t="s">
        <v>114</v>
      </c>
      <c r="G14" s="35" t="s">
        <v>115</v>
      </c>
      <c r="H14" s="35" t="s">
        <v>116</v>
      </c>
      <c r="I14" s="35" t="s">
        <v>114</v>
      </c>
      <c r="J14" s="31"/>
    </row>
    <row r="15" spans="1:10" ht="12.75">
      <c r="A15" s="133" t="s">
        <v>76</v>
      </c>
      <c r="B15" s="134"/>
      <c r="C15" s="134"/>
      <c r="D15" s="134"/>
      <c r="E15" s="135"/>
      <c r="F15" s="36">
        <v>0</v>
      </c>
      <c r="G15" s="38"/>
      <c r="H15" s="38"/>
      <c r="I15" s="36">
        <f>F15</f>
        <v>0</v>
      </c>
      <c r="J15" s="11"/>
    </row>
    <row r="16" spans="1:10" ht="12.75">
      <c r="A16" s="133" t="s">
        <v>77</v>
      </c>
      <c r="B16" s="134"/>
      <c r="C16" s="134"/>
      <c r="D16" s="134"/>
      <c r="E16" s="135"/>
      <c r="F16" s="36">
        <v>0</v>
      </c>
      <c r="G16" s="38"/>
      <c r="H16" s="38"/>
      <c r="I16" s="36">
        <f>F16</f>
        <v>0</v>
      </c>
      <c r="J16" s="11"/>
    </row>
    <row r="17" spans="1:10" ht="12.75">
      <c r="A17" s="136" t="s">
        <v>78</v>
      </c>
      <c r="B17" s="137"/>
      <c r="C17" s="137"/>
      <c r="D17" s="137"/>
      <c r="E17" s="138"/>
      <c r="F17" s="37">
        <v>0</v>
      </c>
      <c r="G17" s="39"/>
      <c r="H17" s="39"/>
      <c r="I17" s="37">
        <f>F17</f>
        <v>0</v>
      </c>
      <c r="J17" s="11"/>
    </row>
    <row r="18" spans="1:10" ht="12.75">
      <c r="A18" s="139" t="s">
        <v>106</v>
      </c>
      <c r="B18" s="140"/>
      <c r="C18" s="140"/>
      <c r="D18" s="140"/>
      <c r="E18" s="141"/>
      <c r="F18" s="1"/>
      <c r="G18" s="40"/>
      <c r="H18" s="40"/>
      <c r="I18" s="41">
        <f>SUM(I15:I17)</f>
        <v>0</v>
      </c>
      <c r="J18" s="31"/>
    </row>
    <row r="19" spans="1:9" ht="12.75">
      <c r="A19" s="33"/>
      <c r="B19" s="33"/>
      <c r="C19" s="33"/>
      <c r="D19" s="33"/>
      <c r="E19" s="33"/>
      <c r="F19" s="33"/>
      <c r="G19" s="33"/>
      <c r="H19" s="33"/>
      <c r="I19" s="33"/>
    </row>
    <row r="20" spans="1:10" ht="12.75">
      <c r="A20" s="130" t="s">
        <v>102</v>
      </c>
      <c r="B20" s="131"/>
      <c r="C20" s="131"/>
      <c r="D20" s="131"/>
      <c r="E20" s="132"/>
      <c r="F20" s="35" t="s">
        <v>114</v>
      </c>
      <c r="G20" s="35" t="s">
        <v>115</v>
      </c>
      <c r="H20" s="35" t="s">
        <v>116</v>
      </c>
      <c r="I20" s="35" t="s">
        <v>114</v>
      </c>
      <c r="J20" s="31"/>
    </row>
    <row r="21" spans="1:10" ht="12.75">
      <c r="A21" s="133" t="s">
        <v>86</v>
      </c>
      <c r="B21" s="134"/>
      <c r="C21" s="134"/>
      <c r="D21" s="134"/>
      <c r="E21" s="135"/>
      <c r="F21" s="38"/>
      <c r="G21" s="36">
        <v>3</v>
      </c>
      <c r="H21" s="36">
        <f>'Krycí list rozpočtu'!C22</f>
        <v>0</v>
      </c>
      <c r="I21" s="36">
        <f>ROUND((G21/100)*H21,2)</f>
        <v>0</v>
      </c>
      <c r="J21" s="11"/>
    </row>
    <row r="22" spans="1:10" ht="12.75">
      <c r="A22" s="133" t="s">
        <v>87</v>
      </c>
      <c r="B22" s="134"/>
      <c r="C22" s="134"/>
      <c r="D22" s="134"/>
      <c r="E22" s="135"/>
      <c r="F22" s="36">
        <v>0</v>
      </c>
      <c r="G22" s="38"/>
      <c r="H22" s="38"/>
      <c r="I22" s="36">
        <f>F22</f>
        <v>0</v>
      </c>
      <c r="J22" s="11"/>
    </row>
    <row r="23" spans="1:10" ht="12.75">
      <c r="A23" s="133" t="s">
        <v>88</v>
      </c>
      <c r="B23" s="134"/>
      <c r="C23" s="134"/>
      <c r="D23" s="134"/>
      <c r="E23" s="135"/>
      <c r="F23" s="36">
        <v>0</v>
      </c>
      <c r="G23" s="38"/>
      <c r="H23" s="38"/>
      <c r="I23" s="36">
        <f>F23</f>
        <v>0</v>
      </c>
      <c r="J23" s="11"/>
    </row>
    <row r="24" spans="1:10" ht="12.75">
      <c r="A24" s="133" t="s">
        <v>89</v>
      </c>
      <c r="B24" s="134"/>
      <c r="C24" s="134"/>
      <c r="D24" s="134"/>
      <c r="E24" s="135"/>
      <c r="F24" s="36">
        <v>0</v>
      </c>
      <c r="G24" s="38"/>
      <c r="H24" s="38"/>
      <c r="I24" s="36">
        <f>F24</f>
        <v>0</v>
      </c>
      <c r="J24" s="11"/>
    </row>
    <row r="25" spans="1:10" ht="12.75">
      <c r="A25" s="133" t="s">
        <v>90</v>
      </c>
      <c r="B25" s="134"/>
      <c r="C25" s="134"/>
      <c r="D25" s="134"/>
      <c r="E25" s="135"/>
      <c r="F25" s="36">
        <v>0</v>
      </c>
      <c r="G25" s="38"/>
      <c r="H25" s="38"/>
      <c r="I25" s="36">
        <f>F25</f>
        <v>0</v>
      </c>
      <c r="J25" s="11"/>
    </row>
    <row r="26" spans="1:10" ht="12.75">
      <c r="A26" s="136" t="s">
        <v>91</v>
      </c>
      <c r="B26" s="137"/>
      <c r="C26" s="137"/>
      <c r="D26" s="137"/>
      <c r="E26" s="138"/>
      <c r="F26" s="37">
        <v>0</v>
      </c>
      <c r="G26" s="39"/>
      <c r="H26" s="39"/>
      <c r="I26" s="37">
        <f>F26</f>
        <v>0</v>
      </c>
      <c r="J26" s="11"/>
    </row>
    <row r="27" spans="1:10" ht="12.75">
      <c r="A27" s="139" t="s">
        <v>107</v>
      </c>
      <c r="B27" s="140"/>
      <c r="C27" s="140"/>
      <c r="D27" s="140"/>
      <c r="E27" s="141"/>
      <c r="F27" s="1"/>
      <c r="G27" s="40"/>
      <c r="H27" s="40"/>
      <c r="I27" s="41">
        <f>SUM(I21:I26)</f>
        <v>0</v>
      </c>
      <c r="J27" s="31"/>
    </row>
    <row r="28" spans="1:9" ht="12.75">
      <c r="A28" s="33"/>
      <c r="B28" s="33"/>
      <c r="C28" s="33"/>
      <c r="D28" s="33"/>
      <c r="E28" s="33"/>
      <c r="F28" s="33"/>
      <c r="G28" s="33"/>
      <c r="H28" s="33"/>
      <c r="I28" s="33"/>
    </row>
    <row r="29" spans="1:10" ht="15" customHeight="1">
      <c r="A29" s="142" t="s">
        <v>108</v>
      </c>
      <c r="B29" s="143"/>
      <c r="C29" s="143"/>
      <c r="D29" s="143"/>
      <c r="E29" s="144"/>
      <c r="F29" s="145">
        <f>I18+I27</f>
        <v>0</v>
      </c>
      <c r="G29" s="146"/>
      <c r="H29" s="146"/>
      <c r="I29" s="147"/>
      <c r="J29" s="31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3" spans="1:9" ht="15" customHeight="1">
      <c r="A33" s="128" t="s">
        <v>109</v>
      </c>
      <c r="B33" s="129"/>
      <c r="C33" s="129"/>
      <c r="D33" s="129"/>
      <c r="E33" s="129"/>
      <c r="F33" s="34"/>
      <c r="G33" s="34"/>
      <c r="H33" s="34"/>
      <c r="I33" s="34"/>
    </row>
    <row r="34" spans="1:10" ht="12.75">
      <c r="A34" s="130" t="s">
        <v>110</v>
      </c>
      <c r="B34" s="131"/>
      <c r="C34" s="131"/>
      <c r="D34" s="131"/>
      <c r="E34" s="132"/>
      <c r="F34" s="35" t="s">
        <v>114</v>
      </c>
      <c r="G34" s="35" t="s">
        <v>115</v>
      </c>
      <c r="H34" s="35" t="s">
        <v>116</v>
      </c>
      <c r="I34" s="35" t="s">
        <v>114</v>
      </c>
      <c r="J34" s="31"/>
    </row>
    <row r="35" spans="1:10" ht="12.75">
      <c r="A35" s="136" t="s">
        <v>111</v>
      </c>
      <c r="B35" s="137"/>
      <c r="C35" s="137"/>
      <c r="D35" s="137"/>
      <c r="E35" s="138"/>
      <c r="F35" s="39"/>
      <c r="G35" s="37">
        <v>5</v>
      </c>
      <c r="H35" s="37">
        <f>'Krycí list rozpočtu'!C22</f>
        <v>0</v>
      </c>
      <c r="I35" s="37">
        <f>ROUND((G35/100)*H35,2)</f>
        <v>0</v>
      </c>
      <c r="J35" s="11"/>
    </row>
    <row r="36" spans="1:10" ht="12.75">
      <c r="A36" s="139" t="s">
        <v>112</v>
      </c>
      <c r="B36" s="140"/>
      <c r="C36" s="140"/>
      <c r="D36" s="140"/>
      <c r="E36" s="141"/>
      <c r="F36" s="1"/>
      <c r="G36" s="40"/>
      <c r="H36" s="40"/>
      <c r="I36" s="41">
        <f>SUM(I35:I35)</f>
        <v>0</v>
      </c>
      <c r="J36" s="31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7"/>
  <sheetViews>
    <sheetView tabSelected="1" zoomScalePageLayoutView="0" workbookViewId="0" topLeftCell="A1">
      <pane ySplit="11" topLeftCell="A159" activePane="bottomLeft" state="frozen"/>
      <selection pane="topLeft" activeCell="A1" sqref="A1"/>
      <selection pane="bottomLeft" activeCell="L112" sqref="L112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56.140625" style="0" customWidth="1"/>
    <col min="5" max="6" width="11.57421875" style="0" customWidth="1"/>
    <col min="7" max="7" width="7.42187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82" t="s">
        <v>117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ht="12.75">
      <c r="A2" s="84" t="s">
        <v>1</v>
      </c>
      <c r="B2" s="85"/>
      <c r="C2" s="88" t="s">
        <v>274</v>
      </c>
      <c r="D2" s="104"/>
      <c r="E2" s="90" t="s">
        <v>40</v>
      </c>
      <c r="F2" s="85"/>
      <c r="G2" s="90" t="s">
        <v>44</v>
      </c>
      <c r="H2" s="85"/>
      <c r="I2" s="91" t="s">
        <v>47</v>
      </c>
      <c r="J2" s="91" t="s">
        <v>358</v>
      </c>
      <c r="K2" s="85"/>
      <c r="L2" s="85"/>
      <c r="M2" s="148"/>
      <c r="N2" s="11"/>
    </row>
    <row r="3" spans="1:14" ht="12.75">
      <c r="A3" s="86"/>
      <c r="B3" s="87"/>
      <c r="C3" s="89"/>
      <c r="D3" s="89"/>
      <c r="E3" s="87"/>
      <c r="F3" s="87"/>
      <c r="G3" s="87"/>
      <c r="H3" s="87"/>
      <c r="I3" s="87"/>
      <c r="J3" s="87"/>
      <c r="K3" s="87"/>
      <c r="L3" s="87"/>
      <c r="M3" s="93"/>
      <c r="N3" s="11"/>
    </row>
    <row r="4" spans="1:14" ht="12.75">
      <c r="A4" s="94" t="s">
        <v>2</v>
      </c>
      <c r="B4" s="87"/>
      <c r="C4" s="95" t="s">
        <v>275</v>
      </c>
      <c r="D4" s="87"/>
      <c r="E4" s="96" t="s">
        <v>41</v>
      </c>
      <c r="F4" s="87"/>
      <c r="G4" s="96" t="s">
        <v>44</v>
      </c>
      <c r="H4" s="87"/>
      <c r="I4" s="95" t="s">
        <v>48</v>
      </c>
      <c r="J4" s="95" t="s">
        <v>359</v>
      </c>
      <c r="K4" s="87"/>
      <c r="L4" s="87"/>
      <c r="M4" s="93"/>
      <c r="N4" s="11"/>
    </row>
    <row r="5" spans="1:14" ht="12.7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93"/>
      <c r="N5" s="11"/>
    </row>
    <row r="6" spans="1:14" ht="12.75">
      <c r="A6" s="94" t="s">
        <v>3</v>
      </c>
      <c r="B6" s="87"/>
      <c r="C6" s="95" t="s">
        <v>276</v>
      </c>
      <c r="D6" s="87"/>
      <c r="E6" s="96" t="s">
        <v>42</v>
      </c>
      <c r="F6" s="87"/>
      <c r="G6" s="96" t="s">
        <v>44</v>
      </c>
      <c r="H6" s="87"/>
      <c r="I6" s="95" t="s">
        <v>49</v>
      </c>
      <c r="J6" s="95" t="s">
        <v>360</v>
      </c>
      <c r="K6" s="87"/>
      <c r="L6" s="87"/>
      <c r="M6" s="93"/>
      <c r="N6" s="11"/>
    </row>
    <row r="7" spans="1:14" ht="12.7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93"/>
      <c r="N7" s="11"/>
    </row>
    <row r="8" spans="1:14" ht="12.75">
      <c r="A8" s="94" t="s">
        <v>55</v>
      </c>
      <c r="B8" s="87"/>
      <c r="C8" s="95" t="s">
        <v>44</v>
      </c>
      <c r="D8" s="87"/>
      <c r="E8" s="96" t="s">
        <v>43</v>
      </c>
      <c r="F8" s="87"/>
      <c r="G8" s="96" t="s">
        <v>45</v>
      </c>
      <c r="H8" s="87"/>
      <c r="I8" s="95" t="s">
        <v>4</v>
      </c>
      <c r="J8" s="96" t="s">
        <v>361</v>
      </c>
      <c r="K8" s="87"/>
      <c r="L8" s="87"/>
      <c r="M8" s="93"/>
      <c r="N8" s="11"/>
    </row>
    <row r="9" spans="1:14" ht="12.7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101"/>
      <c r="N9" s="11"/>
    </row>
    <row r="10" spans="1:64" ht="12.75">
      <c r="A10" s="42" t="s">
        <v>118</v>
      </c>
      <c r="B10" s="49" t="s">
        <v>8</v>
      </c>
      <c r="C10" s="149" t="s">
        <v>277</v>
      </c>
      <c r="D10" s="150"/>
      <c r="E10" s="150"/>
      <c r="F10" s="151"/>
      <c r="G10" s="49" t="s">
        <v>348</v>
      </c>
      <c r="H10" s="60" t="s">
        <v>355</v>
      </c>
      <c r="I10" s="62" t="s">
        <v>356</v>
      </c>
      <c r="J10" s="152" t="s">
        <v>362</v>
      </c>
      <c r="K10" s="153"/>
      <c r="L10" s="154"/>
      <c r="M10" s="67" t="s">
        <v>365</v>
      </c>
      <c r="N10" s="31"/>
      <c r="BK10" s="73" t="s">
        <v>413</v>
      </c>
      <c r="BL10" s="76" t="s">
        <v>415</v>
      </c>
    </row>
    <row r="11" spans="1:62" ht="12.75">
      <c r="A11" s="43" t="s">
        <v>44</v>
      </c>
      <c r="B11" s="50" t="s">
        <v>44</v>
      </c>
      <c r="C11" s="155" t="s">
        <v>278</v>
      </c>
      <c r="D11" s="156"/>
      <c r="E11" s="156"/>
      <c r="F11" s="157"/>
      <c r="G11" s="50" t="s">
        <v>44</v>
      </c>
      <c r="H11" s="50" t="s">
        <v>44</v>
      </c>
      <c r="I11" s="63" t="s">
        <v>357</v>
      </c>
      <c r="J11" s="64" t="s">
        <v>363</v>
      </c>
      <c r="K11" s="65" t="s">
        <v>73</v>
      </c>
      <c r="L11" s="66" t="s">
        <v>364</v>
      </c>
      <c r="M11" s="68" t="s">
        <v>366</v>
      </c>
      <c r="N11" s="31"/>
      <c r="Z11" s="73" t="s">
        <v>368</v>
      </c>
      <c r="AA11" s="73" t="s">
        <v>369</v>
      </c>
      <c r="AB11" s="73" t="s">
        <v>370</v>
      </c>
      <c r="AC11" s="73" t="s">
        <v>371</v>
      </c>
      <c r="AD11" s="73" t="s">
        <v>372</v>
      </c>
      <c r="AE11" s="73" t="s">
        <v>373</v>
      </c>
      <c r="AF11" s="73" t="s">
        <v>374</v>
      </c>
      <c r="AG11" s="73" t="s">
        <v>375</v>
      </c>
      <c r="AH11" s="73" t="s">
        <v>376</v>
      </c>
      <c r="BH11" s="73" t="s">
        <v>410</v>
      </c>
      <c r="BI11" s="73" t="s">
        <v>411</v>
      </c>
      <c r="BJ11" s="73" t="s">
        <v>412</v>
      </c>
    </row>
    <row r="12" spans="1:14" ht="12.75">
      <c r="A12" s="44"/>
      <c r="B12" s="51"/>
      <c r="C12" s="158" t="s">
        <v>6</v>
      </c>
      <c r="D12" s="159"/>
      <c r="E12" s="159"/>
      <c r="F12" s="159"/>
      <c r="G12" s="57" t="s">
        <v>44</v>
      </c>
      <c r="H12" s="57" t="s">
        <v>44</v>
      </c>
      <c r="I12" s="57" t="s">
        <v>44</v>
      </c>
      <c r="J12" s="77">
        <f>J13+J17+J28+J32+J37+J43+J45+J47+J61+J66+J70+J72+J88+J92+J94</f>
        <v>0</v>
      </c>
      <c r="K12" s="77">
        <f>K13+K17+K28+K32+K37+K43+K45+K47+K61+K66+K70+K72+K88+K92+K94</f>
        <v>0</v>
      </c>
      <c r="L12" s="77">
        <f>L13+L17+L28+L32+L37+L43+L45+L47+L61+L66+L70+L72+L88+L92+L94</f>
        <v>0</v>
      </c>
      <c r="M12" s="69"/>
      <c r="N12" s="11"/>
    </row>
    <row r="13" spans="1:47" ht="12.75">
      <c r="A13" s="45"/>
      <c r="B13" s="52" t="s">
        <v>9</v>
      </c>
      <c r="C13" s="160" t="s">
        <v>25</v>
      </c>
      <c r="D13" s="161"/>
      <c r="E13" s="161"/>
      <c r="F13" s="161"/>
      <c r="G13" s="58" t="s">
        <v>44</v>
      </c>
      <c r="H13" s="58" t="s">
        <v>44</v>
      </c>
      <c r="I13" s="58" t="s">
        <v>44</v>
      </c>
      <c r="J13" s="78">
        <f>SUM(J14:J15)</f>
        <v>0</v>
      </c>
      <c r="K13" s="78">
        <f>SUM(K14:K15)</f>
        <v>0</v>
      </c>
      <c r="L13" s="78">
        <f>SUM(L14:L15)</f>
        <v>0</v>
      </c>
      <c r="M13" s="70"/>
      <c r="N13" s="11"/>
      <c r="AI13" s="73" t="s">
        <v>6</v>
      </c>
      <c r="AS13" s="78">
        <f>SUM(AJ14:AJ15)</f>
        <v>0</v>
      </c>
      <c r="AT13" s="78">
        <f>SUM(AK14:AK15)</f>
        <v>0</v>
      </c>
      <c r="AU13" s="78">
        <f>SUM(AL14:AL15)</f>
        <v>0</v>
      </c>
    </row>
    <row r="14" spans="1:64" ht="12.75">
      <c r="A14" s="46" t="s">
        <v>119</v>
      </c>
      <c r="B14" s="53" t="s">
        <v>225</v>
      </c>
      <c r="C14" s="162" t="s">
        <v>279</v>
      </c>
      <c r="D14" s="163"/>
      <c r="E14" s="163"/>
      <c r="F14" s="163"/>
      <c r="G14" s="53" t="s">
        <v>349</v>
      </c>
      <c r="H14" s="61">
        <v>0.27</v>
      </c>
      <c r="I14" s="61">
        <v>0</v>
      </c>
      <c r="J14" s="61">
        <f>H14*AO14</f>
        <v>0</v>
      </c>
      <c r="K14" s="61">
        <f>H14*AP14</f>
        <v>0</v>
      </c>
      <c r="L14" s="61">
        <f>H14*I14</f>
        <v>0</v>
      </c>
      <c r="M14" s="71" t="s">
        <v>367</v>
      </c>
      <c r="N14" s="11"/>
      <c r="Z14" s="12">
        <f>IF(AQ14="5",BJ14,0)</f>
        <v>0</v>
      </c>
      <c r="AB14" s="12">
        <f>IF(AQ14="1",BH14,0)</f>
        <v>0</v>
      </c>
      <c r="AC14" s="12">
        <f>IF(AQ14="1",BI14,0)</f>
        <v>0</v>
      </c>
      <c r="AD14" s="12">
        <f>IF(AQ14="7",BH14,0)</f>
        <v>0</v>
      </c>
      <c r="AE14" s="12">
        <f>IF(AQ14="7",BI14,0)</f>
        <v>0</v>
      </c>
      <c r="AF14" s="12">
        <f>IF(AQ14="2",BH14,0)</f>
        <v>0</v>
      </c>
      <c r="AG14" s="12">
        <f>IF(AQ14="2",BI14,0)</f>
        <v>0</v>
      </c>
      <c r="AH14" s="12">
        <f>IF(AQ14="0",BJ14,0)</f>
        <v>0</v>
      </c>
      <c r="AI14" s="73" t="s">
        <v>6</v>
      </c>
      <c r="AJ14" s="61">
        <f>IF(AN14=0,L14,0)</f>
        <v>0</v>
      </c>
      <c r="AK14" s="61">
        <f>IF(AN14=15,L14,0)</f>
        <v>0</v>
      </c>
      <c r="AL14" s="61">
        <f>IF(AN14=21,L14,0)</f>
        <v>0</v>
      </c>
      <c r="AN14" s="12">
        <v>21</v>
      </c>
      <c r="AO14" s="12">
        <f>I14*0.406917469016315</f>
        <v>0</v>
      </c>
      <c r="AP14" s="12">
        <f>I14*(1-0.406917469016315)</f>
        <v>0</v>
      </c>
      <c r="AQ14" s="74" t="s">
        <v>119</v>
      </c>
      <c r="AV14" s="12">
        <f>AW14+AX14</f>
        <v>0</v>
      </c>
      <c r="AW14" s="12">
        <f>H14*AO14</f>
        <v>0</v>
      </c>
      <c r="AX14" s="12">
        <f>H14*AP14</f>
        <v>0</v>
      </c>
      <c r="AY14" s="75" t="s">
        <v>377</v>
      </c>
      <c r="AZ14" s="75" t="s">
        <v>392</v>
      </c>
      <c r="BA14" s="73" t="s">
        <v>408</v>
      </c>
      <c r="BC14" s="12">
        <f>AW14+AX14</f>
        <v>0</v>
      </c>
      <c r="BD14" s="12">
        <f>I14/(100-BE14)*100</f>
        <v>0</v>
      </c>
      <c r="BE14" s="12">
        <v>0</v>
      </c>
      <c r="BF14" s="12">
        <f>14</f>
        <v>14</v>
      </c>
      <c r="BH14" s="61">
        <f>H14*AO14</f>
        <v>0</v>
      </c>
      <c r="BI14" s="61">
        <f>H14*AP14</f>
        <v>0</v>
      </c>
      <c r="BJ14" s="61">
        <f>H14*I14</f>
        <v>0</v>
      </c>
      <c r="BK14" s="61" t="s">
        <v>414</v>
      </c>
      <c r="BL14" s="12">
        <v>12</v>
      </c>
    </row>
    <row r="15" spans="1:64" ht="12.75">
      <c r="A15" s="46" t="s">
        <v>120</v>
      </c>
      <c r="B15" s="53" t="s">
        <v>226</v>
      </c>
      <c r="C15" s="162" t="s">
        <v>280</v>
      </c>
      <c r="D15" s="163"/>
      <c r="E15" s="163"/>
      <c r="F15" s="163"/>
      <c r="G15" s="53" t="s">
        <v>349</v>
      </c>
      <c r="H15" s="61">
        <v>51.08</v>
      </c>
      <c r="I15" s="61">
        <v>0</v>
      </c>
      <c r="J15" s="61">
        <f>H15*AO15</f>
        <v>0</v>
      </c>
      <c r="K15" s="61">
        <f>H15*AP15</f>
        <v>0</v>
      </c>
      <c r="L15" s="61">
        <f>H15*I15</f>
        <v>0</v>
      </c>
      <c r="M15" s="71" t="s">
        <v>367</v>
      </c>
      <c r="N15" s="11"/>
      <c r="Z15" s="12">
        <f>IF(AQ15="5",BJ15,0)</f>
        <v>0</v>
      </c>
      <c r="AB15" s="12">
        <f>IF(AQ15="1",BH15,0)</f>
        <v>0</v>
      </c>
      <c r="AC15" s="12">
        <f>IF(AQ15="1",BI15,0)</f>
        <v>0</v>
      </c>
      <c r="AD15" s="12">
        <f>IF(AQ15="7",BH15,0)</f>
        <v>0</v>
      </c>
      <c r="AE15" s="12">
        <f>IF(AQ15="7",BI15,0)</f>
        <v>0</v>
      </c>
      <c r="AF15" s="12">
        <f>IF(AQ15="2",BH15,0)</f>
        <v>0</v>
      </c>
      <c r="AG15" s="12">
        <f>IF(AQ15="2",BI15,0)</f>
        <v>0</v>
      </c>
      <c r="AH15" s="12">
        <f>IF(AQ15="0",BJ15,0)</f>
        <v>0</v>
      </c>
      <c r="AI15" s="73" t="s">
        <v>6</v>
      </c>
      <c r="AJ15" s="61">
        <f>IF(AN15=0,L15,0)</f>
        <v>0</v>
      </c>
      <c r="AK15" s="61">
        <f>IF(AN15=15,L15,0)</f>
        <v>0</v>
      </c>
      <c r="AL15" s="61">
        <f>IF(AN15=21,L15,0)</f>
        <v>0</v>
      </c>
      <c r="AN15" s="12">
        <v>21</v>
      </c>
      <c r="AO15" s="12">
        <f>I15*0.219766704414388</f>
        <v>0</v>
      </c>
      <c r="AP15" s="12">
        <f>I15*(1-0.219766704414388)</f>
        <v>0</v>
      </c>
      <c r="AQ15" s="74" t="s">
        <v>119</v>
      </c>
      <c r="AV15" s="12">
        <f>AW15+AX15</f>
        <v>0</v>
      </c>
      <c r="AW15" s="12">
        <f>H15*AO15</f>
        <v>0</v>
      </c>
      <c r="AX15" s="12">
        <f>H15*AP15</f>
        <v>0</v>
      </c>
      <c r="AY15" s="75" t="s">
        <v>377</v>
      </c>
      <c r="AZ15" s="75" t="s">
        <v>392</v>
      </c>
      <c r="BA15" s="73" t="s">
        <v>408</v>
      </c>
      <c r="BC15" s="12">
        <f>AW15+AX15</f>
        <v>0</v>
      </c>
      <c r="BD15" s="12">
        <f>I15/(100-BE15)*100</f>
        <v>0</v>
      </c>
      <c r="BE15" s="12">
        <v>0</v>
      </c>
      <c r="BF15" s="12">
        <f>15</f>
        <v>15</v>
      </c>
      <c r="BH15" s="61">
        <f>H15*AO15</f>
        <v>0</v>
      </c>
      <c r="BI15" s="61">
        <f>H15*AP15</f>
        <v>0</v>
      </c>
      <c r="BJ15" s="61">
        <f>H15*I15</f>
        <v>0</v>
      </c>
      <c r="BK15" s="61" t="s">
        <v>414</v>
      </c>
      <c r="BL15" s="12">
        <v>12</v>
      </c>
    </row>
    <row r="16" spans="1:14" ht="12.75">
      <c r="A16" s="11"/>
      <c r="B16" s="54" t="s">
        <v>227</v>
      </c>
      <c r="C16" s="164" t="s">
        <v>281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11"/>
    </row>
    <row r="17" spans="1:47" ht="12.75">
      <c r="A17" s="45"/>
      <c r="B17" s="52" t="s">
        <v>10</v>
      </c>
      <c r="C17" s="160" t="s">
        <v>26</v>
      </c>
      <c r="D17" s="161"/>
      <c r="E17" s="161"/>
      <c r="F17" s="161"/>
      <c r="G17" s="58" t="s">
        <v>44</v>
      </c>
      <c r="H17" s="58" t="s">
        <v>44</v>
      </c>
      <c r="I17" s="58" t="s">
        <v>44</v>
      </c>
      <c r="J17" s="78">
        <f>SUM(J18:J26)</f>
        <v>0</v>
      </c>
      <c r="K17" s="78">
        <f>SUM(K18:K26)</f>
        <v>0</v>
      </c>
      <c r="L17" s="78">
        <f>SUM(L18:L26)</f>
        <v>0</v>
      </c>
      <c r="M17" s="70"/>
      <c r="N17" s="11"/>
      <c r="AI17" s="73" t="s">
        <v>6</v>
      </c>
      <c r="AS17" s="78">
        <f>SUM(AJ18:AJ26)</f>
        <v>0</v>
      </c>
      <c r="AT17" s="78">
        <f>SUM(AK18:AK26)</f>
        <v>0</v>
      </c>
      <c r="AU17" s="78">
        <f>SUM(AL18:AL26)</f>
        <v>0</v>
      </c>
    </row>
    <row r="18" spans="1:64" ht="12.75">
      <c r="A18" s="46" t="s">
        <v>121</v>
      </c>
      <c r="B18" s="53" t="s">
        <v>228</v>
      </c>
      <c r="C18" s="162" t="s">
        <v>282</v>
      </c>
      <c r="D18" s="163"/>
      <c r="E18" s="163"/>
      <c r="F18" s="163"/>
      <c r="G18" s="53" t="s">
        <v>349</v>
      </c>
      <c r="H18" s="61">
        <v>5.55</v>
      </c>
      <c r="I18" s="61">
        <v>0</v>
      </c>
      <c r="J18" s="61">
        <f aca="true" t="shared" si="0" ref="J18:J23">H18*AO18</f>
        <v>0</v>
      </c>
      <c r="K18" s="61">
        <f aca="true" t="shared" si="1" ref="K18:K23">H18*AP18</f>
        <v>0</v>
      </c>
      <c r="L18" s="61">
        <f aca="true" t="shared" si="2" ref="L18:L23">H18*I18</f>
        <v>0</v>
      </c>
      <c r="M18" s="71" t="s">
        <v>367</v>
      </c>
      <c r="N18" s="11"/>
      <c r="Z18" s="12">
        <f aca="true" t="shared" si="3" ref="Z18:Z23">IF(AQ18="5",BJ18,0)</f>
        <v>0</v>
      </c>
      <c r="AB18" s="12">
        <f aca="true" t="shared" si="4" ref="AB18:AB23">IF(AQ18="1",BH18,0)</f>
        <v>0</v>
      </c>
      <c r="AC18" s="12">
        <f aca="true" t="shared" si="5" ref="AC18:AC23">IF(AQ18="1",BI18,0)</f>
        <v>0</v>
      </c>
      <c r="AD18" s="12">
        <f aca="true" t="shared" si="6" ref="AD18:AD23">IF(AQ18="7",BH18,0)</f>
        <v>0</v>
      </c>
      <c r="AE18" s="12">
        <f aca="true" t="shared" si="7" ref="AE18:AE23">IF(AQ18="7",BI18,0)</f>
        <v>0</v>
      </c>
      <c r="AF18" s="12">
        <f aca="true" t="shared" si="8" ref="AF18:AF23">IF(AQ18="2",BH18,0)</f>
        <v>0</v>
      </c>
      <c r="AG18" s="12">
        <f aca="true" t="shared" si="9" ref="AG18:AG23">IF(AQ18="2",BI18,0)</f>
        <v>0</v>
      </c>
      <c r="AH18" s="12">
        <f aca="true" t="shared" si="10" ref="AH18:AH23">IF(AQ18="0",BJ18,0)</f>
        <v>0</v>
      </c>
      <c r="AI18" s="73" t="s">
        <v>6</v>
      </c>
      <c r="AJ18" s="61">
        <f aca="true" t="shared" si="11" ref="AJ18:AJ23">IF(AN18=0,L18,0)</f>
        <v>0</v>
      </c>
      <c r="AK18" s="61">
        <f aca="true" t="shared" si="12" ref="AK18:AK23">IF(AN18=15,L18,0)</f>
        <v>0</v>
      </c>
      <c r="AL18" s="61">
        <f aca="true" t="shared" si="13" ref="AL18:AL23">IF(AN18=21,L18,0)</f>
        <v>0</v>
      </c>
      <c r="AN18" s="12">
        <v>21</v>
      </c>
      <c r="AO18" s="12">
        <f>I18*0.392626575281893</f>
        <v>0</v>
      </c>
      <c r="AP18" s="12">
        <f>I18*(1-0.392626575281893)</f>
        <v>0</v>
      </c>
      <c r="AQ18" s="74" t="s">
        <v>119</v>
      </c>
      <c r="AV18" s="12">
        <f aca="true" t="shared" si="14" ref="AV18:AV23">AW18+AX18</f>
        <v>0</v>
      </c>
      <c r="AW18" s="12">
        <f aca="true" t="shared" si="15" ref="AW18:AW23">H18*AO18</f>
        <v>0</v>
      </c>
      <c r="AX18" s="12">
        <f aca="true" t="shared" si="16" ref="AX18:AX23">H18*AP18</f>
        <v>0</v>
      </c>
      <c r="AY18" s="75" t="s">
        <v>378</v>
      </c>
      <c r="AZ18" s="75" t="s">
        <v>393</v>
      </c>
      <c r="BA18" s="73" t="s">
        <v>408</v>
      </c>
      <c r="BC18" s="12">
        <f aca="true" t="shared" si="17" ref="BC18:BC23">AW18+AX18</f>
        <v>0</v>
      </c>
      <c r="BD18" s="12">
        <f aca="true" t="shared" si="18" ref="BD18:BD23">I18/(100-BE18)*100</f>
        <v>0</v>
      </c>
      <c r="BE18" s="12">
        <v>0</v>
      </c>
      <c r="BF18" s="12">
        <f>18</f>
        <v>18</v>
      </c>
      <c r="BH18" s="61">
        <f aca="true" t="shared" si="19" ref="BH18:BH23">H18*AO18</f>
        <v>0</v>
      </c>
      <c r="BI18" s="61">
        <f aca="true" t="shared" si="20" ref="BI18:BI23">H18*AP18</f>
        <v>0</v>
      </c>
      <c r="BJ18" s="61">
        <f aca="true" t="shared" si="21" ref="BJ18:BJ23">H18*I18</f>
        <v>0</v>
      </c>
      <c r="BK18" s="61" t="s">
        <v>414</v>
      </c>
      <c r="BL18" s="12">
        <v>34</v>
      </c>
    </row>
    <row r="19" spans="1:64" ht="12.75">
      <c r="A19" s="46" t="s">
        <v>122</v>
      </c>
      <c r="B19" s="53" t="s">
        <v>229</v>
      </c>
      <c r="C19" s="162" t="s">
        <v>283</v>
      </c>
      <c r="D19" s="163"/>
      <c r="E19" s="163"/>
      <c r="F19" s="163"/>
      <c r="G19" s="53" t="s">
        <v>349</v>
      </c>
      <c r="H19" s="61">
        <v>2.9</v>
      </c>
      <c r="I19" s="61">
        <v>0</v>
      </c>
      <c r="J19" s="61">
        <f t="shared" si="0"/>
        <v>0</v>
      </c>
      <c r="K19" s="61">
        <f t="shared" si="1"/>
        <v>0</v>
      </c>
      <c r="L19" s="61">
        <f t="shared" si="2"/>
        <v>0</v>
      </c>
      <c r="M19" s="71" t="s">
        <v>367</v>
      </c>
      <c r="N19" s="11"/>
      <c r="Z19" s="12">
        <f t="shared" si="3"/>
        <v>0</v>
      </c>
      <c r="AB19" s="12">
        <f t="shared" si="4"/>
        <v>0</v>
      </c>
      <c r="AC19" s="12">
        <f t="shared" si="5"/>
        <v>0</v>
      </c>
      <c r="AD19" s="12">
        <f t="shared" si="6"/>
        <v>0</v>
      </c>
      <c r="AE19" s="12">
        <f t="shared" si="7"/>
        <v>0</v>
      </c>
      <c r="AF19" s="12">
        <f t="shared" si="8"/>
        <v>0</v>
      </c>
      <c r="AG19" s="12">
        <f t="shared" si="9"/>
        <v>0</v>
      </c>
      <c r="AH19" s="12">
        <f t="shared" si="10"/>
        <v>0</v>
      </c>
      <c r="AI19" s="73" t="s">
        <v>6</v>
      </c>
      <c r="AJ19" s="61">
        <f t="shared" si="11"/>
        <v>0</v>
      </c>
      <c r="AK19" s="61">
        <f t="shared" si="12"/>
        <v>0</v>
      </c>
      <c r="AL19" s="61">
        <f t="shared" si="13"/>
        <v>0</v>
      </c>
      <c r="AN19" s="12">
        <v>21</v>
      </c>
      <c r="AO19" s="12">
        <f>I19*0.427347345066009</f>
        <v>0</v>
      </c>
      <c r="AP19" s="12">
        <f>I19*(1-0.427347345066009)</f>
        <v>0</v>
      </c>
      <c r="AQ19" s="74" t="s">
        <v>119</v>
      </c>
      <c r="AV19" s="12">
        <f t="shared" si="14"/>
        <v>0</v>
      </c>
      <c r="AW19" s="12">
        <f t="shared" si="15"/>
        <v>0</v>
      </c>
      <c r="AX19" s="12">
        <f t="shared" si="16"/>
        <v>0</v>
      </c>
      <c r="AY19" s="75" t="s">
        <v>378</v>
      </c>
      <c r="AZ19" s="75" t="s">
        <v>393</v>
      </c>
      <c r="BA19" s="73" t="s">
        <v>408</v>
      </c>
      <c r="BC19" s="12">
        <f t="shared" si="17"/>
        <v>0</v>
      </c>
      <c r="BD19" s="12">
        <f t="shared" si="18"/>
        <v>0</v>
      </c>
      <c r="BE19" s="12">
        <v>0</v>
      </c>
      <c r="BF19" s="12">
        <f>19</f>
        <v>19</v>
      </c>
      <c r="BH19" s="61">
        <f t="shared" si="19"/>
        <v>0</v>
      </c>
      <c r="BI19" s="61">
        <f t="shared" si="20"/>
        <v>0</v>
      </c>
      <c r="BJ19" s="61">
        <f t="shared" si="21"/>
        <v>0</v>
      </c>
      <c r="BK19" s="61" t="s">
        <v>414</v>
      </c>
      <c r="BL19" s="12">
        <v>34</v>
      </c>
    </row>
    <row r="20" spans="1:64" ht="12.75">
      <c r="A20" s="46" t="s">
        <v>123</v>
      </c>
      <c r="B20" s="53" t="s">
        <v>230</v>
      </c>
      <c r="C20" s="162" t="s">
        <v>284</v>
      </c>
      <c r="D20" s="163"/>
      <c r="E20" s="163"/>
      <c r="F20" s="163"/>
      <c r="G20" s="53" t="s">
        <v>350</v>
      </c>
      <c r="H20" s="61">
        <v>1</v>
      </c>
      <c r="I20" s="61">
        <v>0</v>
      </c>
      <c r="J20" s="61">
        <f t="shared" si="0"/>
        <v>0</v>
      </c>
      <c r="K20" s="61">
        <f t="shared" si="1"/>
        <v>0</v>
      </c>
      <c r="L20" s="61">
        <f t="shared" si="2"/>
        <v>0</v>
      </c>
      <c r="M20" s="71" t="s">
        <v>367</v>
      </c>
      <c r="N20" s="11"/>
      <c r="Z20" s="12">
        <f t="shared" si="3"/>
        <v>0</v>
      </c>
      <c r="AB20" s="12">
        <f t="shared" si="4"/>
        <v>0</v>
      </c>
      <c r="AC20" s="12">
        <f t="shared" si="5"/>
        <v>0</v>
      </c>
      <c r="AD20" s="12">
        <f t="shared" si="6"/>
        <v>0</v>
      </c>
      <c r="AE20" s="12">
        <f t="shared" si="7"/>
        <v>0</v>
      </c>
      <c r="AF20" s="12">
        <f t="shared" si="8"/>
        <v>0</v>
      </c>
      <c r="AG20" s="12">
        <f t="shared" si="9"/>
        <v>0</v>
      </c>
      <c r="AH20" s="12">
        <f t="shared" si="10"/>
        <v>0</v>
      </c>
      <c r="AI20" s="73" t="s">
        <v>6</v>
      </c>
      <c r="AJ20" s="61">
        <f t="shared" si="11"/>
        <v>0</v>
      </c>
      <c r="AK20" s="61">
        <f t="shared" si="12"/>
        <v>0</v>
      </c>
      <c r="AL20" s="61">
        <f t="shared" si="13"/>
        <v>0</v>
      </c>
      <c r="AN20" s="12">
        <v>21</v>
      </c>
      <c r="AO20" s="12">
        <f>I20*0.557289636846767</f>
        <v>0</v>
      </c>
      <c r="AP20" s="12">
        <f>I20*(1-0.557289636846767)</f>
        <v>0</v>
      </c>
      <c r="AQ20" s="74" t="s">
        <v>119</v>
      </c>
      <c r="AV20" s="12">
        <f t="shared" si="14"/>
        <v>0</v>
      </c>
      <c r="AW20" s="12">
        <f t="shared" si="15"/>
        <v>0</v>
      </c>
      <c r="AX20" s="12">
        <f t="shared" si="16"/>
        <v>0</v>
      </c>
      <c r="AY20" s="75" t="s">
        <v>378</v>
      </c>
      <c r="AZ20" s="75" t="s">
        <v>393</v>
      </c>
      <c r="BA20" s="73" t="s">
        <v>408</v>
      </c>
      <c r="BC20" s="12">
        <f t="shared" si="17"/>
        <v>0</v>
      </c>
      <c r="BD20" s="12">
        <f t="shared" si="18"/>
        <v>0</v>
      </c>
      <c r="BE20" s="12">
        <v>0</v>
      </c>
      <c r="BF20" s="12">
        <f>20</f>
        <v>20</v>
      </c>
      <c r="BH20" s="61">
        <f t="shared" si="19"/>
        <v>0</v>
      </c>
      <c r="BI20" s="61">
        <f t="shared" si="20"/>
        <v>0</v>
      </c>
      <c r="BJ20" s="61">
        <f t="shared" si="21"/>
        <v>0</v>
      </c>
      <c r="BK20" s="61" t="s">
        <v>414</v>
      </c>
      <c r="BL20" s="12">
        <v>34</v>
      </c>
    </row>
    <row r="21" spans="1:64" ht="12.75">
      <c r="A21" s="46" t="s">
        <v>124</v>
      </c>
      <c r="B21" s="53" t="s">
        <v>231</v>
      </c>
      <c r="C21" s="162" t="s">
        <v>285</v>
      </c>
      <c r="D21" s="163"/>
      <c r="E21" s="163"/>
      <c r="F21" s="163"/>
      <c r="G21" s="53" t="s">
        <v>349</v>
      </c>
      <c r="H21" s="61">
        <v>1.2</v>
      </c>
      <c r="I21" s="61">
        <v>0</v>
      </c>
      <c r="J21" s="61">
        <f t="shared" si="0"/>
        <v>0</v>
      </c>
      <c r="K21" s="61">
        <f t="shared" si="1"/>
        <v>0</v>
      </c>
      <c r="L21" s="61">
        <f t="shared" si="2"/>
        <v>0</v>
      </c>
      <c r="M21" s="71" t="s">
        <v>367</v>
      </c>
      <c r="N21" s="11"/>
      <c r="Z21" s="12">
        <f t="shared" si="3"/>
        <v>0</v>
      </c>
      <c r="AB21" s="12">
        <f t="shared" si="4"/>
        <v>0</v>
      </c>
      <c r="AC21" s="12">
        <f t="shared" si="5"/>
        <v>0</v>
      </c>
      <c r="AD21" s="12">
        <f t="shared" si="6"/>
        <v>0</v>
      </c>
      <c r="AE21" s="12">
        <f t="shared" si="7"/>
        <v>0</v>
      </c>
      <c r="AF21" s="12">
        <f t="shared" si="8"/>
        <v>0</v>
      </c>
      <c r="AG21" s="12">
        <f t="shared" si="9"/>
        <v>0</v>
      </c>
      <c r="AH21" s="12">
        <f t="shared" si="10"/>
        <v>0</v>
      </c>
      <c r="AI21" s="73" t="s">
        <v>6</v>
      </c>
      <c r="AJ21" s="61">
        <f t="shared" si="11"/>
        <v>0</v>
      </c>
      <c r="AK21" s="61">
        <f t="shared" si="12"/>
        <v>0</v>
      </c>
      <c r="AL21" s="61">
        <f t="shared" si="13"/>
        <v>0</v>
      </c>
      <c r="AN21" s="12">
        <v>21</v>
      </c>
      <c r="AO21" s="12">
        <f>I21*0.479813890369796</f>
        <v>0</v>
      </c>
      <c r="AP21" s="12">
        <f>I21*(1-0.479813890369796)</f>
        <v>0</v>
      </c>
      <c r="AQ21" s="74" t="s">
        <v>119</v>
      </c>
      <c r="AV21" s="12">
        <f t="shared" si="14"/>
        <v>0</v>
      </c>
      <c r="AW21" s="12">
        <f t="shared" si="15"/>
        <v>0</v>
      </c>
      <c r="AX21" s="12">
        <f t="shared" si="16"/>
        <v>0</v>
      </c>
      <c r="AY21" s="75" t="s">
        <v>378</v>
      </c>
      <c r="AZ21" s="75" t="s">
        <v>393</v>
      </c>
      <c r="BA21" s="73" t="s">
        <v>408</v>
      </c>
      <c r="BC21" s="12">
        <f t="shared" si="17"/>
        <v>0</v>
      </c>
      <c r="BD21" s="12">
        <f t="shared" si="18"/>
        <v>0</v>
      </c>
      <c r="BE21" s="12">
        <v>0</v>
      </c>
      <c r="BF21" s="12">
        <f>21</f>
        <v>21</v>
      </c>
      <c r="BH21" s="61">
        <f t="shared" si="19"/>
        <v>0</v>
      </c>
      <c r="BI21" s="61">
        <f t="shared" si="20"/>
        <v>0</v>
      </c>
      <c r="BJ21" s="61">
        <f t="shared" si="21"/>
        <v>0</v>
      </c>
      <c r="BK21" s="61" t="s">
        <v>414</v>
      </c>
      <c r="BL21" s="12">
        <v>34</v>
      </c>
    </row>
    <row r="22" spans="1:64" ht="12.75">
      <c r="A22" s="46" t="s">
        <v>125</v>
      </c>
      <c r="B22" s="53" t="s">
        <v>232</v>
      </c>
      <c r="C22" s="162" t="s">
        <v>286</v>
      </c>
      <c r="D22" s="163"/>
      <c r="E22" s="163"/>
      <c r="F22" s="163"/>
      <c r="G22" s="53" t="s">
        <v>350</v>
      </c>
      <c r="H22" s="61">
        <v>1</v>
      </c>
      <c r="I22" s="61">
        <v>0</v>
      </c>
      <c r="J22" s="61">
        <f t="shared" si="0"/>
        <v>0</v>
      </c>
      <c r="K22" s="61">
        <f t="shared" si="1"/>
        <v>0</v>
      </c>
      <c r="L22" s="61">
        <f t="shared" si="2"/>
        <v>0</v>
      </c>
      <c r="M22" s="71" t="s">
        <v>367</v>
      </c>
      <c r="N22" s="11"/>
      <c r="Z22" s="12">
        <f t="shared" si="3"/>
        <v>0</v>
      </c>
      <c r="AB22" s="12">
        <f t="shared" si="4"/>
        <v>0</v>
      </c>
      <c r="AC22" s="12">
        <f t="shared" si="5"/>
        <v>0</v>
      </c>
      <c r="AD22" s="12">
        <f t="shared" si="6"/>
        <v>0</v>
      </c>
      <c r="AE22" s="12">
        <f t="shared" si="7"/>
        <v>0</v>
      </c>
      <c r="AF22" s="12">
        <f t="shared" si="8"/>
        <v>0</v>
      </c>
      <c r="AG22" s="12">
        <f t="shared" si="9"/>
        <v>0</v>
      </c>
      <c r="AH22" s="12">
        <f t="shared" si="10"/>
        <v>0</v>
      </c>
      <c r="AI22" s="73" t="s">
        <v>6</v>
      </c>
      <c r="AJ22" s="61">
        <f t="shared" si="11"/>
        <v>0</v>
      </c>
      <c r="AK22" s="61">
        <f t="shared" si="12"/>
        <v>0</v>
      </c>
      <c r="AL22" s="61">
        <f t="shared" si="13"/>
        <v>0</v>
      </c>
      <c r="AN22" s="12">
        <v>21</v>
      </c>
      <c r="AO22" s="12">
        <f>I22*0.566672216588211</f>
        <v>0</v>
      </c>
      <c r="AP22" s="12">
        <f>I22*(1-0.566672216588211)</f>
        <v>0</v>
      </c>
      <c r="AQ22" s="74" t="s">
        <v>119</v>
      </c>
      <c r="AV22" s="12">
        <f t="shared" si="14"/>
        <v>0</v>
      </c>
      <c r="AW22" s="12">
        <f t="shared" si="15"/>
        <v>0</v>
      </c>
      <c r="AX22" s="12">
        <f t="shared" si="16"/>
        <v>0</v>
      </c>
      <c r="AY22" s="75" t="s">
        <v>378</v>
      </c>
      <c r="AZ22" s="75" t="s">
        <v>393</v>
      </c>
      <c r="BA22" s="73" t="s">
        <v>408</v>
      </c>
      <c r="BC22" s="12">
        <f t="shared" si="17"/>
        <v>0</v>
      </c>
      <c r="BD22" s="12">
        <f t="shared" si="18"/>
        <v>0</v>
      </c>
      <c r="BE22" s="12">
        <v>0</v>
      </c>
      <c r="BF22" s="12">
        <f>22</f>
        <v>22</v>
      </c>
      <c r="BH22" s="61">
        <f t="shared" si="19"/>
        <v>0</v>
      </c>
      <c r="BI22" s="61">
        <f t="shared" si="20"/>
        <v>0</v>
      </c>
      <c r="BJ22" s="61">
        <f t="shared" si="21"/>
        <v>0</v>
      </c>
      <c r="BK22" s="61" t="s">
        <v>414</v>
      </c>
      <c r="BL22" s="12">
        <v>34</v>
      </c>
    </row>
    <row r="23" spans="1:64" ht="12.75">
      <c r="A23" s="46" t="s">
        <v>126</v>
      </c>
      <c r="B23" s="53" t="s">
        <v>233</v>
      </c>
      <c r="C23" s="162" t="s">
        <v>287</v>
      </c>
      <c r="D23" s="163"/>
      <c r="E23" s="163"/>
      <c r="F23" s="163"/>
      <c r="G23" s="53" t="s">
        <v>351</v>
      </c>
      <c r="H23" s="61">
        <v>0.045</v>
      </c>
      <c r="I23" s="61">
        <v>0</v>
      </c>
      <c r="J23" s="61">
        <f t="shared" si="0"/>
        <v>0</v>
      </c>
      <c r="K23" s="61">
        <f t="shared" si="1"/>
        <v>0</v>
      </c>
      <c r="L23" s="61">
        <f t="shared" si="2"/>
        <v>0</v>
      </c>
      <c r="M23" s="71" t="s">
        <v>367</v>
      </c>
      <c r="N23" s="11"/>
      <c r="Z23" s="12">
        <f t="shared" si="3"/>
        <v>0</v>
      </c>
      <c r="AB23" s="12">
        <f t="shared" si="4"/>
        <v>0</v>
      </c>
      <c r="AC23" s="12">
        <f t="shared" si="5"/>
        <v>0</v>
      </c>
      <c r="AD23" s="12">
        <f t="shared" si="6"/>
        <v>0</v>
      </c>
      <c r="AE23" s="12">
        <f t="shared" si="7"/>
        <v>0</v>
      </c>
      <c r="AF23" s="12">
        <f t="shared" si="8"/>
        <v>0</v>
      </c>
      <c r="AG23" s="12">
        <f t="shared" si="9"/>
        <v>0</v>
      </c>
      <c r="AH23" s="12">
        <f t="shared" si="10"/>
        <v>0</v>
      </c>
      <c r="AI23" s="73" t="s">
        <v>6</v>
      </c>
      <c r="AJ23" s="61">
        <f t="shared" si="11"/>
        <v>0</v>
      </c>
      <c r="AK23" s="61">
        <f t="shared" si="12"/>
        <v>0</v>
      </c>
      <c r="AL23" s="61">
        <f t="shared" si="13"/>
        <v>0</v>
      </c>
      <c r="AN23" s="12">
        <v>21</v>
      </c>
      <c r="AO23" s="12">
        <f>I23*0.425629658153632</f>
        <v>0</v>
      </c>
      <c r="AP23" s="12">
        <f>I23*(1-0.425629658153632)</f>
        <v>0</v>
      </c>
      <c r="AQ23" s="74" t="s">
        <v>119</v>
      </c>
      <c r="AV23" s="12">
        <f t="shared" si="14"/>
        <v>0</v>
      </c>
      <c r="AW23" s="12">
        <f t="shared" si="15"/>
        <v>0</v>
      </c>
      <c r="AX23" s="12">
        <f t="shared" si="16"/>
        <v>0</v>
      </c>
      <c r="AY23" s="75" t="s">
        <v>378</v>
      </c>
      <c r="AZ23" s="75" t="s">
        <v>393</v>
      </c>
      <c r="BA23" s="73" t="s">
        <v>408</v>
      </c>
      <c r="BC23" s="12">
        <f t="shared" si="17"/>
        <v>0</v>
      </c>
      <c r="BD23" s="12">
        <f t="shared" si="18"/>
        <v>0</v>
      </c>
      <c r="BE23" s="12">
        <v>0</v>
      </c>
      <c r="BF23" s="12">
        <f>23</f>
        <v>23</v>
      </c>
      <c r="BH23" s="61">
        <f t="shared" si="19"/>
        <v>0</v>
      </c>
      <c r="BI23" s="61">
        <f t="shared" si="20"/>
        <v>0</v>
      </c>
      <c r="BJ23" s="61">
        <f t="shared" si="21"/>
        <v>0</v>
      </c>
      <c r="BK23" s="61" t="s">
        <v>414</v>
      </c>
      <c r="BL23" s="12">
        <v>34</v>
      </c>
    </row>
    <row r="24" spans="1:14" ht="12.75">
      <c r="A24" s="11"/>
      <c r="B24" s="54" t="s">
        <v>227</v>
      </c>
      <c r="C24" s="164" t="s">
        <v>288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11"/>
    </row>
    <row r="25" spans="1:64" ht="12.75">
      <c r="A25" s="46" t="s">
        <v>127</v>
      </c>
      <c r="B25" s="53" t="s">
        <v>233</v>
      </c>
      <c r="C25" s="162" t="s">
        <v>289</v>
      </c>
      <c r="D25" s="163"/>
      <c r="E25" s="163"/>
      <c r="F25" s="163"/>
      <c r="G25" s="53" t="s">
        <v>352</v>
      </c>
      <c r="H25" s="61">
        <v>1</v>
      </c>
      <c r="I25" s="61">
        <v>0</v>
      </c>
      <c r="J25" s="61">
        <f>H25*AO25</f>
        <v>0</v>
      </c>
      <c r="K25" s="61">
        <f>H25*AP25</f>
        <v>0</v>
      </c>
      <c r="L25" s="61">
        <f>H25*I25</f>
        <v>0</v>
      </c>
      <c r="M25" s="71" t="s">
        <v>367</v>
      </c>
      <c r="N25" s="11"/>
      <c r="Z25" s="12">
        <f>IF(AQ25="5",BJ25,0)</f>
        <v>0</v>
      </c>
      <c r="AB25" s="12">
        <f>IF(AQ25="1",BH25,0)</f>
        <v>0</v>
      </c>
      <c r="AC25" s="12">
        <f>IF(AQ25="1",BI25,0)</f>
        <v>0</v>
      </c>
      <c r="AD25" s="12">
        <f>IF(AQ25="7",BH25,0)</f>
        <v>0</v>
      </c>
      <c r="AE25" s="12">
        <f>IF(AQ25="7",BI25,0)</f>
        <v>0</v>
      </c>
      <c r="AF25" s="12">
        <f>IF(AQ25="2",BH25,0)</f>
        <v>0</v>
      </c>
      <c r="AG25" s="12">
        <f>IF(AQ25="2",BI25,0)</f>
        <v>0</v>
      </c>
      <c r="AH25" s="12">
        <f>IF(AQ25="0",BJ25,0)</f>
        <v>0</v>
      </c>
      <c r="AI25" s="73" t="s">
        <v>6</v>
      </c>
      <c r="AJ25" s="61">
        <f>IF(AN25=0,L25,0)</f>
        <v>0</v>
      </c>
      <c r="AK25" s="61">
        <f>IF(AN25=15,L25,0)</f>
        <v>0</v>
      </c>
      <c r="AL25" s="61">
        <f>IF(AN25=21,L25,0)</f>
        <v>0</v>
      </c>
      <c r="AN25" s="12">
        <v>21</v>
      </c>
      <c r="AO25" s="12">
        <f>I25*0.425628571428571</f>
        <v>0</v>
      </c>
      <c r="AP25" s="12">
        <f>I25*(1-0.425628571428571)</f>
        <v>0</v>
      </c>
      <c r="AQ25" s="74" t="s">
        <v>119</v>
      </c>
      <c r="AV25" s="12">
        <f>AW25+AX25</f>
        <v>0</v>
      </c>
      <c r="AW25" s="12">
        <f>H25*AO25</f>
        <v>0</v>
      </c>
      <c r="AX25" s="12">
        <f>H25*AP25</f>
        <v>0</v>
      </c>
      <c r="AY25" s="75" t="s">
        <v>378</v>
      </c>
      <c r="AZ25" s="75" t="s">
        <v>393</v>
      </c>
      <c r="BA25" s="73" t="s">
        <v>408</v>
      </c>
      <c r="BC25" s="12">
        <f>AW25+AX25</f>
        <v>0</v>
      </c>
      <c r="BD25" s="12">
        <f>I25/(100-BE25)*100</f>
        <v>0</v>
      </c>
      <c r="BE25" s="12">
        <v>0</v>
      </c>
      <c r="BF25" s="12">
        <f>25</f>
        <v>25</v>
      </c>
      <c r="BH25" s="61">
        <f>H25*AO25</f>
        <v>0</v>
      </c>
      <c r="BI25" s="61">
        <f>H25*AP25</f>
        <v>0</v>
      </c>
      <c r="BJ25" s="61">
        <f>H25*I25</f>
        <v>0</v>
      </c>
      <c r="BK25" s="61" t="s">
        <v>414</v>
      </c>
      <c r="BL25" s="12">
        <v>34</v>
      </c>
    </row>
    <row r="26" spans="1:64" ht="12.75">
      <c r="A26" s="46" t="s">
        <v>128</v>
      </c>
      <c r="B26" s="53" t="s">
        <v>234</v>
      </c>
      <c r="C26" s="162" t="s">
        <v>290</v>
      </c>
      <c r="D26" s="163"/>
      <c r="E26" s="163"/>
      <c r="F26" s="163"/>
      <c r="G26" s="53" t="s">
        <v>353</v>
      </c>
      <c r="H26" s="61">
        <v>2.6</v>
      </c>
      <c r="I26" s="61">
        <v>0</v>
      </c>
      <c r="J26" s="61">
        <f>H26*AO26</f>
        <v>0</v>
      </c>
      <c r="K26" s="61">
        <f>H26*AP26</f>
        <v>0</v>
      </c>
      <c r="L26" s="61">
        <f>H26*I26</f>
        <v>0</v>
      </c>
      <c r="M26" s="71"/>
      <c r="N26" s="11"/>
      <c r="Z26" s="12">
        <f>IF(AQ26="5",BJ26,0)</f>
        <v>0</v>
      </c>
      <c r="AB26" s="12">
        <f>IF(AQ26="1",BH26,0)</f>
        <v>0</v>
      </c>
      <c r="AC26" s="12">
        <f>IF(AQ26="1",BI26,0)</f>
        <v>0</v>
      </c>
      <c r="AD26" s="12">
        <f>IF(AQ26="7",BH26,0)</f>
        <v>0</v>
      </c>
      <c r="AE26" s="12">
        <f>IF(AQ26="7",BI26,0)</f>
        <v>0</v>
      </c>
      <c r="AF26" s="12">
        <f>IF(AQ26="2",BH26,0)</f>
        <v>0</v>
      </c>
      <c r="AG26" s="12">
        <f>IF(AQ26="2",BI26,0)</f>
        <v>0</v>
      </c>
      <c r="AH26" s="12">
        <f>IF(AQ26="0",BJ26,0)</f>
        <v>0</v>
      </c>
      <c r="AI26" s="73" t="s">
        <v>6</v>
      </c>
      <c r="AJ26" s="61">
        <f>IF(AN26=0,L26,0)</f>
        <v>0</v>
      </c>
      <c r="AK26" s="61">
        <f>IF(AN26=15,L26,0)</f>
        <v>0</v>
      </c>
      <c r="AL26" s="61">
        <f>IF(AN26=21,L26,0)</f>
        <v>0</v>
      </c>
      <c r="AN26" s="12">
        <v>21</v>
      </c>
      <c r="AO26" s="12">
        <f>I26*0</f>
        <v>0</v>
      </c>
      <c r="AP26" s="12">
        <f>I26*(1-0)</f>
        <v>0</v>
      </c>
      <c r="AQ26" s="74" t="s">
        <v>119</v>
      </c>
      <c r="AV26" s="12">
        <f>AW26+AX26</f>
        <v>0</v>
      </c>
      <c r="AW26" s="12">
        <f>H26*AO26</f>
        <v>0</v>
      </c>
      <c r="AX26" s="12">
        <f>H26*AP26</f>
        <v>0</v>
      </c>
      <c r="AY26" s="75" t="s">
        <v>378</v>
      </c>
      <c r="AZ26" s="75" t="s">
        <v>393</v>
      </c>
      <c r="BA26" s="73" t="s">
        <v>408</v>
      </c>
      <c r="BC26" s="12">
        <f>AW26+AX26</f>
        <v>0</v>
      </c>
      <c r="BD26" s="12">
        <f>I26/(100-BE26)*100</f>
        <v>0</v>
      </c>
      <c r="BE26" s="12">
        <v>0</v>
      </c>
      <c r="BF26" s="12">
        <f>26</f>
        <v>26</v>
      </c>
      <c r="BH26" s="61">
        <f>H26*AO26</f>
        <v>0</v>
      </c>
      <c r="BI26" s="61">
        <f>H26*AP26</f>
        <v>0</v>
      </c>
      <c r="BJ26" s="61">
        <f>H26*I26</f>
        <v>0</v>
      </c>
      <c r="BK26" s="61" t="s">
        <v>414</v>
      </c>
      <c r="BL26" s="12">
        <v>34</v>
      </c>
    </row>
    <row r="27" spans="1:14" ht="12.75">
      <c r="A27" s="11"/>
      <c r="B27" s="54" t="s">
        <v>227</v>
      </c>
      <c r="C27" s="164" t="s">
        <v>291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11"/>
    </row>
    <row r="28" spans="1:47" ht="12.75">
      <c r="A28" s="45"/>
      <c r="B28" s="52" t="s">
        <v>11</v>
      </c>
      <c r="C28" s="160" t="s">
        <v>27</v>
      </c>
      <c r="D28" s="161"/>
      <c r="E28" s="161"/>
      <c r="F28" s="161"/>
      <c r="G28" s="58" t="s">
        <v>44</v>
      </c>
      <c r="H28" s="58" t="s">
        <v>44</v>
      </c>
      <c r="I28" s="58" t="s">
        <v>44</v>
      </c>
      <c r="J28" s="78">
        <f>SUM(J29:J31)</f>
        <v>0</v>
      </c>
      <c r="K28" s="78">
        <f>SUM(K29:K31)</f>
        <v>0</v>
      </c>
      <c r="L28" s="78">
        <f>SUM(L29:L31)</f>
        <v>0</v>
      </c>
      <c r="M28" s="70"/>
      <c r="N28" s="11"/>
      <c r="AI28" s="73" t="s">
        <v>6</v>
      </c>
      <c r="AS28" s="78">
        <f>SUM(AJ29:AJ31)</f>
        <v>0</v>
      </c>
      <c r="AT28" s="78">
        <f>SUM(AK29:AK31)</f>
        <v>0</v>
      </c>
      <c r="AU28" s="78">
        <f>SUM(AL29:AL31)</f>
        <v>0</v>
      </c>
    </row>
    <row r="29" spans="1:64" ht="12.75">
      <c r="A29" s="46" t="s">
        <v>129</v>
      </c>
      <c r="B29" s="53" t="s">
        <v>235</v>
      </c>
      <c r="C29" s="162" t="s">
        <v>292</v>
      </c>
      <c r="D29" s="163"/>
      <c r="E29" s="163"/>
      <c r="F29" s="163"/>
      <c r="G29" s="53" t="s">
        <v>349</v>
      </c>
      <c r="H29" s="61">
        <v>32.493</v>
      </c>
      <c r="I29" s="61">
        <v>0</v>
      </c>
      <c r="J29" s="61">
        <f>H29*AO29</f>
        <v>0</v>
      </c>
      <c r="K29" s="61">
        <f>H29*AP29</f>
        <v>0</v>
      </c>
      <c r="L29" s="61">
        <f>H29*I29</f>
        <v>0</v>
      </c>
      <c r="M29" s="71" t="s">
        <v>367</v>
      </c>
      <c r="N29" s="11"/>
      <c r="Z29" s="12">
        <f>IF(AQ29="5",BJ29,0)</f>
        <v>0</v>
      </c>
      <c r="AB29" s="12">
        <f>IF(AQ29="1",BH29,0)</f>
        <v>0</v>
      </c>
      <c r="AC29" s="12">
        <f>IF(AQ29="1",BI29,0)</f>
        <v>0</v>
      </c>
      <c r="AD29" s="12">
        <f>IF(AQ29="7",BH29,0)</f>
        <v>0</v>
      </c>
      <c r="AE29" s="12">
        <f>IF(AQ29="7",BI29,0)</f>
        <v>0</v>
      </c>
      <c r="AF29" s="12">
        <f>IF(AQ29="2",BH29,0)</f>
        <v>0</v>
      </c>
      <c r="AG29" s="12">
        <f>IF(AQ29="2",BI29,0)</f>
        <v>0</v>
      </c>
      <c r="AH29" s="12">
        <f>IF(AQ29="0",BJ29,0)</f>
        <v>0</v>
      </c>
      <c r="AI29" s="73" t="s">
        <v>6</v>
      </c>
      <c r="AJ29" s="61">
        <f>IF(AN29=0,L29,0)</f>
        <v>0</v>
      </c>
      <c r="AK29" s="61">
        <f>IF(AN29=15,L29,0)</f>
        <v>0</v>
      </c>
      <c r="AL29" s="61">
        <f>IF(AN29=21,L29,0)</f>
        <v>0</v>
      </c>
      <c r="AN29" s="12">
        <v>21</v>
      </c>
      <c r="AO29" s="12">
        <f>I29*0.014211227792331</f>
        <v>0</v>
      </c>
      <c r="AP29" s="12">
        <f>I29*(1-0.014211227792331)</f>
        <v>0</v>
      </c>
      <c r="AQ29" s="74" t="s">
        <v>119</v>
      </c>
      <c r="AV29" s="12">
        <f>AW29+AX29</f>
        <v>0</v>
      </c>
      <c r="AW29" s="12">
        <f>H29*AO29</f>
        <v>0</v>
      </c>
      <c r="AX29" s="12">
        <f>H29*AP29</f>
        <v>0</v>
      </c>
      <c r="AY29" s="75" t="s">
        <v>379</v>
      </c>
      <c r="AZ29" s="75" t="s">
        <v>394</v>
      </c>
      <c r="BA29" s="73" t="s">
        <v>408</v>
      </c>
      <c r="BC29" s="12">
        <f>AW29+AX29</f>
        <v>0</v>
      </c>
      <c r="BD29" s="12">
        <f>I29/(100-BE29)*100</f>
        <v>0</v>
      </c>
      <c r="BE29" s="12">
        <v>0</v>
      </c>
      <c r="BF29" s="12">
        <f>29</f>
        <v>29</v>
      </c>
      <c r="BH29" s="61">
        <f>H29*AO29</f>
        <v>0</v>
      </c>
      <c r="BI29" s="61">
        <f>H29*AP29</f>
        <v>0</v>
      </c>
      <c r="BJ29" s="61">
        <f>H29*I29</f>
        <v>0</v>
      </c>
      <c r="BK29" s="61" t="s">
        <v>414</v>
      </c>
      <c r="BL29" s="12">
        <v>61</v>
      </c>
    </row>
    <row r="30" spans="1:64" ht="12.75">
      <c r="A30" s="46" t="s">
        <v>9</v>
      </c>
      <c r="B30" s="53" t="s">
        <v>236</v>
      </c>
      <c r="C30" s="162" t="s">
        <v>293</v>
      </c>
      <c r="D30" s="163"/>
      <c r="E30" s="163"/>
      <c r="F30" s="163"/>
      <c r="G30" s="53" t="s">
        <v>349</v>
      </c>
      <c r="H30" s="61">
        <v>16.2465</v>
      </c>
      <c r="I30" s="61">
        <v>0</v>
      </c>
      <c r="J30" s="61">
        <f>H30*AO30</f>
        <v>0</v>
      </c>
      <c r="K30" s="61">
        <f>H30*AP30</f>
        <v>0</v>
      </c>
      <c r="L30" s="61">
        <f>H30*I30</f>
        <v>0</v>
      </c>
      <c r="M30" s="71" t="s">
        <v>367</v>
      </c>
      <c r="N30" s="11"/>
      <c r="Z30" s="12">
        <f>IF(AQ30="5",BJ30,0)</f>
        <v>0</v>
      </c>
      <c r="AB30" s="12">
        <f>IF(AQ30="1",BH30,0)</f>
        <v>0</v>
      </c>
      <c r="AC30" s="12">
        <f>IF(AQ30="1",BI30,0)</f>
        <v>0</v>
      </c>
      <c r="AD30" s="12">
        <f>IF(AQ30="7",BH30,0)</f>
        <v>0</v>
      </c>
      <c r="AE30" s="12">
        <f>IF(AQ30="7",BI30,0)</f>
        <v>0</v>
      </c>
      <c r="AF30" s="12">
        <f>IF(AQ30="2",BH30,0)</f>
        <v>0</v>
      </c>
      <c r="AG30" s="12">
        <f>IF(AQ30="2",BI30,0)</f>
        <v>0</v>
      </c>
      <c r="AH30" s="12">
        <f>IF(AQ30="0",BJ30,0)</f>
        <v>0</v>
      </c>
      <c r="AI30" s="73" t="s">
        <v>6</v>
      </c>
      <c r="AJ30" s="61">
        <f>IF(AN30=0,L30,0)</f>
        <v>0</v>
      </c>
      <c r="AK30" s="61">
        <f>IF(AN30=15,L30,0)</f>
        <v>0</v>
      </c>
      <c r="AL30" s="61">
        <f>IF(AN30=21,L30,0)</f>
        <v>0</v>
      </c>
      <c r="AN30" s="12">
        <v>21</v>
      </c>
      <c r="AO30" s="12">
        <f>I30*0.318889979345908</f>
        <v>0</v>
      </c>
      <c r="AP30" s="12">
        <f>I30*(1-0.318889979345908)</f>
        <v>0</v>
      </c>
      <c r="AQ30" s="74" t="s">
        <v>119</v>
      </c>
      <c r="AV30" s="12">
        <f>AW30+AX30</f>
        <v>0</v>
      </c>
      <c r="AW30" s="12">
        <f>H30*AO30</f>
        <v>0</v>
      </c>
      <c r="AX30" s="12">
        <f>H30*AP30</f>
        <v>0</v>
      </c>
      <c r="AY30" s="75" t="s">
        <v>379</v>
      </c>
      <c r="AZ30" s="75" t="s">
        <v>394</v>
      </c>
      <c r="BA30" s="73" t="s">
        <v>408</v>
      </c>
      <c r="BC30" s="12">
        <f>AW30+AX30</f>
        <v>0</v>
      </c>
      <c r="BD30" s="12">
        <f>I30/(100-BE30)*100</f>
        <v>0</v>
      </c>
      <c r="BE30" s="12">
        <v>0</v>
      </c>
      <c r="BF30" s="12">
        <f>30</f>
        <v>30</v>
      </c>
      <c r="BH30" s="61">
        <f>H30*AO30</f>
        <v>0</v>
      </c>
      <c r="BI30" s="61">
        <f>H30*AP30</f>
        <v>0</v>
      </c>
      <c r="BJ30" s="61">
        <f>H30*I30</f>
        <v>0</v>
      </c>
      <c r="BK30" s="61" t="s">
        <v>414</v>
      </c>
      <c r="BL30" s="12">
        <v>61</v>
      </c>
    </row>
    <row r="31" spans="1:64" ht="12.75">
      <c r="A31" s="46" t="s">
        <v>130</v>
      </c>
      <c r="B31" s="53" t="s">
        <v>237</v>
      </c>
      <c r="C31" s="162" t="s">
        <v>294</v>
      </c>
      <c r="D31" s="163"/>
      <c r="E31" s="163"/>
      <c r="F31" s="163"/>
      <c r="G31" s="53" t="s">
        <v>349</v>
      </c>
      <c r="H31" s="61">
        <v>17.1</v>
      </c>
      <c r="I31" s="61">
        <v>0</v>
      </c>
      <c r="J31" s="61">
        <f>H31*AO31</f>
        <v>0</v>
      </c>
      <c r="K31" s="61">
        <f>H31*AP31</f>
        <v>0</v>
      </c>
      <c r="L31" s="61">
        <f>H31*I31</f>
        <v>0</v>
      </c>
      <c r="M31" s="71" t="s">
        <v>367</v>
      </c>
      <c r="N31" s="11"/>
      <c r="Z31" s="12">
        <f>IF(AQ31="5",BJ31,0)</f>
        <v>0</v>
      </c>
      <c r="AB31" s="12">
        <f>IF(AQ31="1",BH31,0)</f>
        <v>0</v>
      </c>
      <c r="AC31" s="12">
        <f>IF(AQ31="1",BI31,0)</f>
        <v>0</v>
      </c>
      <c r="AD31" s="12">
        <f>IF(AQ31="7",BH31,0)</f>
        <v>0</v>
      </c>
      <c r="AE31" s="12">
        <f>IF(AQ31="7",BI31,0)</f>
        <v>0</v>
      </c>
      <c r="AF31" s="12">
        <f>IF(AQ31="2",BH31,0)</f>
        <v>0</v>
      </c>
      <c r="AG31" s="12">
        <f>IF(AQ31="2",BI31,0)</f>
        <v>0</v>
      </c>
      <c r="AH31" s="12">
        <f>IF(AQ31="0",BJ31,0)</f>
        <v>0</v>
      </c>
      <c r="AI31" s="73" t="s">
        <v>6</v>
      </c>
      <c r="AJ31" s="61">
        <f>IF(AN31=0,L31,0)</f>
        <v>0</v>
      </c>
      <c r="AK31" s="61">
        <f>IF(AN31=15,L31,0)</f>
        <v>0</v>
      </c>
      <c r="AL31" s="61">
        <f>IF(AN31=21,L31,0)</f>
        <v>0</v>
      </c>
      <c r="AN31" s="12">
        <v>21</v>
      </c>
      <c r="AO31" s="12">
        <f>I31*0.0980763755962866</f>
        <v>0</v>
      </c>
      <c r="AP31" s="12">
        <f>I31*(1-0.0980763755962866)</f>
        <v>0</v>
      </c>
      <c r="AQ31" s="74" t="s">
        <v>119</v>
      </c>
      <c r="AV31" s="12">
        <f>AW31+AX31</f>
        <v>0</v>
      </c>
      <c r="AW31" s="12">
        <f>H31*AO31</f>
        <v>0</v>
      </c>
      <c r="AX31" s="12">
        <f>H31*AP31</f>
        <v>0</v>
      </c>
      <c r="AY31" s="75" t="s">
        <v>379</v>
      </c>
      <c r="AZ31" s="75" t="s">
        <v>394</v>
      </c>
      <c r="BA31" s="73" t="s">
        <v>408</v>
      </c>
      <c r="BC31" s="12">
        <f>AW31+AX31</f>
        <v>0</v>
      </c>
      <c r="BD31" s="12">
        <f>I31/(100-BE31)*100</f>
        <v>0</v>
      </c>
      <c r="BE31" s="12">
        <v>0</v>
      </c>
      <c r="BF31" s="12">
        <f>31</f>
        <v>31</v>
      </c>
      <c r="BH31" s="61">
        <f>H31*AO31</f>
        <v>0</v>
      </c>
      <c r="BI31" s="61">
        <f>H31*AP31</f>
        <v>0</v>
      </c>
      <c r="BJ31" s="61">
        <f>H31*I31</f>
        <v>0</v>
      </c>
      <c r="BK31" s="61" t="s">
        <v>414</v>
      </c>
      <c r="BL31" s="12">
        <v>61</v>
      </c>
    </row>
    <row r="32" spans="1:47" ht="12.75">
      <c r="A32" s="45"/>
      <c r="B32" s="52" t="s">
        <v>12</v>
      </c>
      <c r="C32" s="160" t="s">
        <v>28</v>
      </c>
      <c r="D32" s="161"/>
      <c r="E32" s="161"/>
      <c r="F32" s="161"/>
      <c r="G32" s="58" t="s">
        <v>44</v>
      </c>
      <c r="H32" s="58" t="s">
        <v>44</v>
      </c>
      <c r="I32" s="58" t="s">
        <v>44</v>
      </c>
      <c r="J32" s="78">
        <f>SUM(J33:J36)</f>
        <v>0</v>
      </c>
      <c r="K32" s="78">
        <f>SUM(K33:K36)</f>
        <v>0</v>
      </c>
      <c r="L32" s="78">
        <f>SUM(L33:L36)</f>
        <v>0</v>
      </c>
      <c r="M32" s="70"/>
      <c r="N32" s="11"/>
      <c r="AI32" s="73" t="s">
        <v>6</v>
      </c>
      <c r="AS32" s="78">
        <f>SUM(AJ33:AJ36)</f>
        <v>0</v>
      </c>
      <c r="AT32" s="78">
        <f>SUM(AK33:AK36)</f>
        <v>0</v>
      </c>
      <c r="AU32" s="78">
        <f>SUM(AL33:AL36)</f>
        <v>0</v>
      </c>
    </row>
    <row r="33" spans="1:64" ht="12.75">
      <c r="A33" s="46" t="s">
        <v>131</v>
      </c>
      <c r="B33" s="53" t="s">
        <v>238</v>
      </c>
      <c r="C33" s="162" t="s">
        <v>295</v>
      </c>
      <c r="D33" s="163"/>
      <c r="E33" s="163"/>
      <c r="F33" s="163"/>
      <c r="G33" s="53" t="s">
        <v>349</v>
      </c>
      <c r="H33" s="61">
        <v>46.95</v>
      </c>
      <c r="I33" s="61">
        <v>0</v>
      </c>
      <c r="J33" s="61">
        <f>H33*AO33</f>
        <v>0</v>
      </c>
      <c r="K33" s="61">
        <f>H33*AP33</f>
        <v>0</v>
      </c>
      <c r="L33" s="61">
        <f>H33*I33</f>
        <v>0</v>
      </c>
      <c r="M33" s="71" t="s">
        <v>367</v>
      </c>
      <c r="N33" s="11"/>
      <c r="Z33" s="12">
        <f>IF(AQ33="5",BJ33,0)</f>
        <v>0</v>
      </c>
      <c r="AB33" s="12">
        <f>IF(AQ33="1",BH33,0)</f>
        <v>0</v>
      </c>
      <c r="AC33" s="12">
        <f>IF(AQ33="1",BI33,0)</f>
        <v>0</v>
      </c>
      <c r="AD33" s="12">
        <f>IF(AQ33="7",BH33,0)</f>
        <v>0</v>
      </c>
      <c r="AE33" s="12">
        <f>IF(AQ33="7",BI33,0)</f>
        <v>0</v>
      </c>
      <c r="AF33" s="12">
        <f>IF(AQ33="2",BH33,0)</f>
        <v>0</v>
      </c>
      <c r="AG33" s="12">
        <f>IF(AQ33="2",BI33,0)</f>
        <v>0</v>
      </c>
      <c r="AH33" s="12">
        <f>IF(AQ33="0",BJ33,0)</f>
        <v>0</v>
      </c>
      <c r="AI33" s="73" t="s">
        <v>6</v>
      </c>
      <c r="AJ33" s="61">
        <f>IF(AN33=0,L33,0)</f>
        <v>0</v>
      </c>
      <c r="AK33" s="61">
        <f>IF(AN33=15,L33,0)</f>
        <v>0</v>
      </c>
      <c r="AL33" s="61">
        <f>IF(AN33=21,L33,0)</f>
        <v>0</v>
      </c>
      <c r="AN33" s="12">
        <v>21</v>
      </c>
      <c r="AO33" s="12">
        <f>I33*0.267946044146875</f>
        <v>0</v>
      </c>
      <c r="AP33" s="12">
        <f>I33*(1-0.267946044146875)</f>
        <v>0</v>
      </c>
      <c r="AQ33" s="74" t="s">
        <v>119</v>
      </c>
      <c r="AV33" s="12">
        <f>AW33+AX33</f>
        <v>0</v>
      </c>
      <c r="AW33" s="12">
        <f>H33*AO33</f>
        <v>0</v>
      </c>
      <c r="AX33" s="12">
        <f>H33*AP33</f>
        <v>0</v>
      </c>
      <c r="AY33" s="75" t="s">
        <v>380</v>
      </c>
      <c r="AZ33" s="75" t="s">
        <v>394</v>
      </c>
      <c r="BA33" s="73" t="s">
        <v>408</v>
      </c>
      <c r="BC33" s="12">
        <f>AW33+AX33</f>
        <v>0</v>
      </c>
      <c r="BD33" s="12">
        <f>I33/(100-BE33)*100</f>
        <v>0</v>
      </c>
      <c r="BE33" s="12">
        <v>0</v>
      </c>
      <c r="BF33" s="12">
        <f>33</f>
        <v>33</v>
      </c>
      <c r="BH33" s="61">
        <f>H33*AO33</f>
        <v>0</v>
      </c>
      <c r="BI33" s="61">
        <f>H33*AP33</f>
        <v>0</v>
      </c>
      <c r="BJ33" s="61">
        <f>H33*I33</f>
        <v>0</v>
      </c>
      <c r="BK33" s="61" t="s">
        <v>414</v>
      </c>
      <c r="BL33" s="12">
        <v>63</v>
      </c>
    </row>
    <row r="34" spans="1:64" ht="12.75">
      <c r="A34" s="46" t="s">
        <v>132</v>
      </c>
      <c r="B34" s="53" t="s">
        <v>239</v>
      </c>
      <c r="C34" s="162" t="s">
        <v>296</v>
      </c>
      <c r="D34" s="163"/>
      <c r="E34" s="163"/>
      <c r="F34" s="163"/>
      <c r="G34" s="53" t="s">
        <v>349</v>
      </c>
      <c r="H34" s="61">
        <v>46.95</v>
      </c>
      <c r="I34" s="61">
        <v>0</v>
      </c>
      <c r="J34" s="61">
        <f>H34*AO34</f>
        <v>0</v>
      </c>
      <c r="K34" s="61">
        <f>H34*AP34</f>
        <v>0</v>
      </c>
      <c r="L34" s="61">
        <f>H34*I34</f>
        <v>0</v>
      </c>
      <c r="M34" s="71" t="s">
        <v>367</v>
      </c>
      <c r="N34" s="11"/>
      <c r="Z34" s="12">
        <f>IF(AQ34="5",BJ34,0)</f>
        <v>0</v>
      </c>
      <c r="AB34" s="12">
        <f>IF(AQ34="1",BH34,0)</f>
        <v>0</v>
      </c>
      <c r="AC34" s="12">
        <f>IF(AQ34="1",BI34,0)</f>
        <v>0</v>
      </c>
      <c r="AD34" s="12">
        <f>IF(AQ34="7",BH34,0)</f>
        <v>0</v>
      </c>
      <c r="AE34" s="12">
        <f>IF(AQ34="7",BI34,0)</f>
        <v>0</v>
      </c>
      <c r="AF34" s="12">
        <f>IF(AQ34="2",BH34,0)</f>
        <v>0</v>
      </c>
      <c r="AG34" s="12">
        <f>IF(AQ34="2",BI34,0)</f>
        <v>0</v>
      </c>
      <c r="AH34" s="12">
        <f>IF(AQ34="0",BJ34,0)</f>
        <v>0</v>
      </c>
      <c r="AI34" s="73" t="s">
        <v>6</v>
      </c>
      <c r="AJ34" s="61">
        <f>IF(AN34=0,L34,0)</f>
        <v>0</v>
      </c>
      <c r="AK34" s="61">
        <f>IF(AN34=15,L34,0)</f>
        <v>0</v>
      </c>
      <c r="AL34" s="61">
        <f>IF(AN34=21,L34,0)</f>
        <v>0</v>
      </c>
      <c r="AN34" s="12">
        <v>21</v>
      </c>
      <c r="AO34" s="12">
        <f>I34*0.294231853205788</f>
        <v>0</v>
      </c>
      <c r="AP34" s="12">
        <f>I34*(1-0.294231853205788)</f>
        <v>0</v>
      </c>
      <c r="AQ34" s="74" t="s">
        <v>119</v>
      </c>
      <c r="AV34" s="12">
        <f>AW34+AX34</f>
        <v>0</v>
      </c>
      <c r="AW34" s="12">
        <f>H34*AO34</f>
        <v>0</v>
      </c>
      <c r="AX34" s="12">
        <f>H34*AP34</f>
        <v>0</v>
      </c>
      <c r="AY34" s="75" t="s">
        <v>380</v>
      </c>
      <c r="AZ34" s="75" t="s">
        <v>394</v>
      </c>
      <c r="BA34" s="73" t="s">
        <v>408</v>
      </c>
      <c r="BC34" s="12">
        <f>AW34+AX34</f>
        <v>0</v>
      </c>
      <c r="BD34" s="12">
        <f>I34/(100-BE34)*100</f>
        <v>0</v>
      </c>
      <c r="BE34" s="12">
        <v>0</v>
      </c>
      <c r="BF34" s="12">
        <f>34</f>
        <v>34</v>
      </c>
      <c r="BH34" s="61">
        <f>H34*AO34</f>
        <v>0</v>
      </c>
      <c r="BI34" s="61">
        <f>H34*AP34</f>
        <v>0</v>
      </c>
      <c r="BJ34" s="61">
        <f>H34*I34</f>
        <v>0</v>
      </c>
      <c r="BK34" s="61" t="s">
        <v>414</v>
      </c>
      <c r="BL34" s="12">
        <v>63</v>
      </c>
    </row>
    <row r="35" spans="1:64" ht="12.75">
      <c r="A35" s="46" t="s">
        <v>133</v>
      </c>
      <c r="B35" s="53" t="s">
        <v>240</v>
      </c>
      <c r="C35" s="162" t="s">
        <v>297</v>
      </c>
      <c r="D35" s="163"/>
      <c r="E35" s="163"/>
      <c r="F35" s="163"/>
      <c r="G35" s="53" t="s">
        <v>349</v>
      </c>
      <c r="H35" s="61">
        <v>46.95</v>
      </c>
      <c r="I35" s="61">
        <v>0</v>
      </c>
      <c r="J35" s="61">
        <f>H35*AO35</f>
        <v>0</v>
      </c>
      <c r="K35" s="61">
        <f>H35*AP35</f>
        <v>0</v>
      </c>
      <c r="L35" s="61">
        <f>H35*I35</f>
        <v>0</v>
      </c>
      <c r="M35" s="71" t="s">
        <v>367</v>
      </c>
      <c r="N35" s="11"/>
      <c r="Z35" s="12">
        <f>IF(AQ35="5",BJ35,0)</f>
        <v>0</v>
      </c>
      <c r="AB35" s="12">
        <f>IF(AQ35="1",BH35,0)</f>
        <v>0</v>
      </c>
      <c r="AC35" s="12">
        <f>IF(AQ35="1",BI35,0)</f>
        <v>0</v>
      </c>
      <c r="AD35" s="12">
        <f>IF(AQ35="7",BH35,0)</f>
        <v>0</v>
      </c>
      <c r="AE35" s="12">
        <f>IF(AQ35="7",BI35,0)</f>
        <v>0</v>
      </c>
      <c r="AF35" s="12">
        <f>IF(AQ35="2",BH35,0)</f>
        <v>0</v>
      </c>
      <c r="AG35" s="12">
        <f>IF(AQ35="2",BI35,0)</f>
        <v>0</v>
      </c>
      <c r="AH35" s="12">
        <f>IF(AQ35="0",BJ35,0)</f>
        <v>0</v>
      </c>
      <c r="AI35" s="73" t="s">
        <v>6</v>
      </c>
      <c r="AJ35" s="61">
        <f>IF(AN35=0,L35,0)</f>
        <v>0</v>
      </c>
      <c r="AK35" s="61">
        <f>IF(AN35=15,L35,0)</f>
        <v>0</v>
      </c>
      <c r="AL35" s="61">
        <f>IF(AN35=21,L35,0)</f>
        <v>0</v>
      </c>
      <c r="AN35" s="12">
        <v>21</v>
      </c>
      <c r="AO35" s="12">
        <f>I35*0.171016666666667</f>
        <v>0</v>
      </c>
      <c r="AP35" s="12">
        <f>I35*(1-0.171016666666667)</f>
        <v>0</v>
      </c>
      <c r="AQ35" s="74" t="s">
        <v>119</v>
      </c>
      <c r="AV35" s="12">
        <f>AW35+AX35</f>
        <v>0</v>
      </c>
      <c r="AW35" s="12">
        <f>H35*AO35</f>
        <v>0</v>
      </c>
      <c r="AX35" s="12">
        <f>H35*AP35</f>
        <v>0</v>
      </c>
      <c r="AY35" s="75" t="s">
        <v>380</v>
      </c>
      <c r="AZ35" s="75" t="s">
        <v>394</v>
      </c>
      <c r="BA35" s="73" t="s">
        <v>408</v>
      </c>
      <c r="BC35" s="12">
        <f>AW35+AX35</f>
        <v>0</v>
      </c>
      <c r="BD35" s="12">
        <f>I35/(100-BE35)*100</f>
        <v>0</v>
      </c>
      <c r="BE35" s="12">
        <v>0</v>
      </c>
      <c r="BF35" s="12">
        <f>35</f>
        <v>35</v>
      </c>
      <c r="BH35" s="61">
        <f>H35*AO35</f>
        <v>0</v>
      </c>
      <c r="BI35" s="61">
        <f>H35*AP35</f>
        <v>0</v>
      </c>
      <c r="BJ35" s="61">
        <f>H35*I35</f>
        <v>0</v>
      </c>
      <c r="BK35" s="61" t="s">
        <v>414</v>
      </c>
      <c r="BL35" s="12">
        <v>63</v>
      </c>
    </row>
    <row r="36" spans="1:64" ht="12.75">
      <c r="A36" s="46" t="s">
        <v>134</v>
      </c>
      <c r="B36" s="53" t="s">
        <v>241</v>
      </c>
      <c r="C36" s="162" t="s">
        <v>298</v>
      </c>
      <c r="D36" s="163"/>
      <c r="E36" s="163"/>
      <c r="F36" s="163"/>
      <c r="G36" s="53" t="s">
        <v>353</v>
      </c>
      <c r="H36" s="61">
        <v>52.34</v>
      </c>
      <c r="I36" s="61">
        <v>0</v>
      </c>
      <c r="J36" s="61">
        <f>H36*AO36</f>
        <v>0</v>
      </c>
      <c r="K36" s="61">
        <f>H36*AP36</f>
        <v>0</v>
      </c>
      <c r="L36" s="61">
        <f>H36*I36</f>
        <v>0</v>
      </c>
      <c r="M36" s="71" t="s">
        <v>367</v>
      </c>
      <c r="N36" s="11"/>
      <c r="Z36" s="12">
        <f>IF(AQ36="5",BJ36,0)</f>
        <v>0</v>
      </c>
      <c r="AB36" s="12">
        <f>IF(AQ36="1",BH36,0)</f>
        <v>0</v>
      </c>
      <c r="AC36" s="12">
        <f>IF(AQ36="1",BI36,0)</f>
        <v>0</v>
      </c>
      <c r="AD36" s="12">
        <f>IF(AQ36="7",BH36,0)</f>
        <v>0</v>
      </c>
      <c r="AE36" s="12">
        <f>IF(AQ36="7",BI36,0)</f>
        <v>0</v>
      </c>
      <c r="AF36" s="12">
        <f>IF(AQ36="2",BH36,0)</f>
        <v>0</v>
      </c>
      <c r="AG36" s="12">
        <f>IF(AQ36="2",BI36,0)</f>
        <v>0</v>
      </c>
      <c r="AH36" s="12">
        <f>IF(AQ36="0",BJ36,0)</f>
        <v>0</v>
      </c>
      <c r="AI36" s="73" t="s">
        <v>6</v>
      </c>
      <c r="AJ36" s="61">
        <f>IF(AN36=0,L36,0)</f>
        <v>0</v>
      </c>
      <c r="AK36" s="61">
        <f>IF(AN36=15,L36,0)</f>
        <v>0</v>
      </c>
      <c r="AL36" s="61">
        <f>IF(AN36=21,L36,0)</f>
        <v>0</v>
      </c>
      <c r="AN36" s="12">
        <v>21</v>
      </c>
      <c r="AO36" s="12">
        <f>I36*0.237333333333333</f>
        <v>0</v>
      </c>
      <c r="AP36" s="12">
        <f>I36*(1-0.237333333333333)</f>
        <v>0</v>
      </c>
      <c r="AQ36" s="74" t="s">
        <v>119</v>
      </c>
      <c r="AV36" s="12">
        <f>AW36+AX36</f>
        <v>0</v>
      </c>
      <c r="AW36" s="12">
        <f>H36*AO36</f>
        <v>0</v>
      </c>
      <c r="AX36" s="12">
        <f>H36*AP36</f>
        <v>0</v>
      </c>
      <c r="AY36" s="75" t="s">
        <v>380</v>
      </c>
      <c r="AZ36" s="75" t="s">
        <v>394</v>
      </c>
      <c r="BA36" s="73" t="s">
        <v>408</v>
      </c>
      <c r="BC36" s="12">
        <f>AW36+AX36</f>
        <v>0</v>
      </c>
      <c r="BD36" s="12">
        <f>I36/(100-BE36)*100</f>
        <v>0</v>
      </c>
      <c r="BE36" s="12">
        <v>0</v>
      </c>
      <c r="BF36" s="12">
        <f>36</f>
        <v>36</v>
      </c>
      <c r="BH36" s="61">
        <f>H36*AO36</f>
        <v>0</v>
      </c>
      <c r="BI36" s="61">
        <f>H36*AP36</f>
        <v>0</v>
      </c>
      <c r="BJ36" s="61">
        <f>H36*I36</f>
        <v>0</v>
      </c>
      <c r="BK36" s="61" t="s">
        <v>414</v>
      </c>
      <c r="BL36" s="12">
        <v>63</v>
      </c>
    </row>
    <row r="37" spans="1:47" ht="12.75">
      <c r="A37" s="45"/>
      <c r="B37" s="52" t="s">
        <v>13</v>
      </c>
      <c r="C37" s="160" t="s">
        <v>29</v>
      </c>
      <c r="D37" s="161"/>
      <c r="E37" s="161"/>
      <c r="F37" s="161"/>
      <c r="G37" s="58" t="s">
        <v>44</v>
      </c>
      <c r="H37" s="58" t="s">
        <v>44</v>
      </c>
      <c r="I37" s="58" t="s">
        <v>44</v>
      </c>
      <c r="J37" s="78">
        <f>SUM(J38:J42)</f>
        <v>0</v>
      </c>
      <c r="K37" s="78">
        <f>SUM(K38:K42)</f>
        <v>0</v>
      </c>
      <c r="L37" s="78">
        <f>SUM(L38:L42)</f>
        <v>0</v>
      </c>
      <c r="M37" s="70"/>
      <c r="N37" s="11"/>
      <c r="AI37" s="73" t="s">
        <v>6</v>
      </c>
      <c r="AS37" s="78">
        <f>SUM(AJ38:AJ42)</f>
        <v>0</v>
      </c>
      <c r="AT37" s="78">
        <f>SUM(AK38:AK42)</f>
        <v>0</v>
      </c>
      <c r="AU37" s="78">
        <f>SUM(AL38:AL42)</f>
        <v>0</v>
      </c>
    </row>
    <row r="38" spans="1:64" ht="12.75">
      <c r="A38" s="46" t="s">
        <v>135</v>
      </c>
      <c r="B38" s="53" t="s">
        <v>242</v>
      </c>
      <c r="C38" s="162" t="s">
        <v>299</v>
      </c>
      <c r="D38" s="163"/>
      <c r="E38" s="163"/>
      <c r="F38" s="163"/>
      <c r="G38" s="53" t="s">
        <v>352</v>
      </c>
      <c r="H38" s="61">
        <v>1</v>
      </c>
      <c r="I38" s="61">
        <v>0</v>
      </c>
      <c r="J38" s="61">
        <f>H38*AO38</f>
        <v>0</v>
      </c>
      <c r="K38" s="61">
        <f>H38*AP38</f>
        <v>0</v>
      </c>
      <c r="L38" s="61">
        <f>H38*I38</f>
        <v>0</v>
      </c>
      <c r="M38" s="71" t="s">
        <v>367</v>
      </c>
      <c r="N38" s="11"/>
      <c r="Z38" s="12">
        <f>IF(AQ38="5",BJ38,0)</f>
        <v>0</v>
      </c>
      <c r="AB38" s="12">
        <f>IF(AQ38="1",BH38,0)</f>
        <v>0</v>
      </c>
      <c r="AC38" s="12">
        <f>IF(AQ38="1",BI38,0)</f>
        <v>0</v>
      </c>
      <c r="AD38" s="12">
        <f>IF(AQ38="7",BH38,0)</f>
        <v>0</v>
      </c>
      <c r="AE38" s="12">
        <f>IF(AQ38="7",BI38,0)</f>
        <v>0</v>
      </c>
      <c r="AF38" s="12">
        <f>IF(AQ38="2",BH38,0)</f>
        <v>0</v>
      </c>
      <c r="AG38" s="12">
        <f>IF(AQ38="2",BI38,0)</f>
        <v>0</v>
      </c>
      <c r="AH38" s="12">
        <f>IF(AQ38="0",BJ38,0)</f>
        <v>0</v>
      </c>
      <c r="AI38" s="73" t="s">
        <v>6</v>
      </c>
      <c r="AJ38" s="61">
        <f>IF(AN38=0,L38,0)</f>
        <v>0</v>
      </c>
      <c r="AK38" s="61">
        <f>IF(AN38=15,L38,0)</f>
        <v>0</v>
      </c>
      <c r="AL38" s="61">
        <f>IF(AN38=21,L38,0)</f>
        <v>0</v>
      </c>
      <c r="AN38" s="12">
        <v>21</v>
      </c>
      <c r="AO38" s="12">
        <f>I38*0.0639157142857143</f>
        <v>0</v>
      </c>
      <c r="AP38" s="12">
        <f>I38*(1-0.0639157142857143)</f>
        <v>0</v>
      </c>
      <c r="AQ38" s="74" t="s">
        <v>125</v>
      </c>
      <c r="AV38" s="12">
        <f>AW38+AX38</f>
        <v>0</v>
      </c>
      <c r="AW38" s="12">
        <f>H38*AO38</f>
        <v>0</v>
      </c>
      <c r="AX38" s="12">
        <f>H38*AP38</f>
        <v>0</v>
      </c>
      <c r="AY38" s="75" t="s">
        <v>381</v>
      </c>
      <c r="AZ38" s="75" t="s">
        <v>395</v>
      </c>
      <c r="BA38" s="73" t="s">
        <v>408</v>
      </c>
      <c r="BC38" s="12">
        <f>AW38+AX38</f>
        <v>0</v>
      </c>
      <c r="BD38" s="12">
        <f>I38/(100-BE38)*100</f>
        <v>0</v>
      </c>
      <c r="BE38" s="12">
        <v>0</v>
      </c>
      <c r="BF38" s="12">
        <f>38</f>
        <v>38</v>
      </c>
      <c r="BH38" s="61">
        <f>H38*AO38</f>
        <v>0</v>
      </c>
      <c r="BI38" s="61">
        <f>H38*AP38</f>
        <v>0</v>
      </c>
      <c r="BJ38" s="61">
        <f>H38*I38</f>
        <v>0</v>
      </c>
      <c r="BK38" s="61" t="s">
        <v>414</v>
      </c>
      <c r="BL38" s="12">
        <v>725</v>
      </c>
    </row>
    <row r="39" spans="1:14" ht="12.75">
      <c r="A39" s="11"/>
      <c r="B39" s="54" t="s">
        <v>227</v>
      </c>
      <c r="C39" s="164" t="s">
        <v>300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6"/>
      <c r="N39" s="11"/>
    </row>
    <row r="40" spans="1:64" ht="12.75">
      <c r="A40" s="46" t="s">
        <v>136</v>
      </c>
      <c r="B40" s="53" t="s">
        <v>243</v>
      </c>
      <c r="C40" s="162" t="s">
        <v>301</v>
      </c>
      <c r="D40" s="163"/>
      <c r="E40" s="163"/>
      <c r="F40" s="163"/>
      <c r="G40" s="53" t="s">
        <v>352</v>
      </c>
      <c r="H40" s="61">
        <v>1</v>
      </c>
      <c r="I40" s="61">
        <v>0</v>
      </c>
      <c r="J40" s="61">
        <f>H40*AO40</f>
        <v>0</v>
      </c>
      <c r="K40" s="61">
        <f>H40*AP40</f>
        <v>0</v>
      </c>
      <c r="L40" s="61">
        <f>H40*I40</f>
        <v>0</v>
      </c>
      <c r="M40" s="71" t="s">
        <v>367</v>
      </c>
      <c r="N40" s="11"/>
      <c r="Z40" s="12">
        <f>IF(AQ40="5",BJ40,0)</f>
        <v>0</v>
      </c>
      <c r="AB40" s="12">
        <f>IF(AQ40="1",BH40,0)</f>
        <v>0</v>
      </c>
      <c r="AC40" s="12">
        <f>IF(AQ40="1",BI40,0)</f>
        <v>0</v>
      </c>
      <c r="AD40" s="12">
        <f>IF(AQ40="7",BH40,0)</f>
        <v>0</v>
      </c>
      <c r="AE40" s="12">
        <f>IF(AQ40="7",BI40,0)</f>
        <v>0</v>
      </c>
      <c r="AF40" s="12">
        <f>IF(AQ40="2",BH40,0)</f>
        <v>0</v>
      </c>
      <c r="AG40" s="12">
        <f>IF(AQ40="2",BI40,0)</f>
        <v>0</v>
      </c>
      <c r="AH40" s="12">
        <f>IF(AQ40="0",BJ40,0)</f>
        <v>0</v>
      </c>
      <c r="AI40" s="73" t="s">
        <v>6</v>
      </c>
      <c r="AJ40" s="61">
        <f>IF(AN40=0,L40,0)</f>
        <v>0</v>
      </c>
      <c r="AK40" s="61">
        <f>IF(AN40=15,L40,0)</f>
        <v>0</v>
      </c>
      <c r="AL40" s="61">
        <f>IF(AN40=21,L40,0)</f>
        <v>0</v>
      </c>
      <c r="AN40" s="12">
        <v>21</v>
      </c>
      <c r="AO40" s="12">
        <f>I40*0.93</f>
        <v>0</v>
      </c>
      <c r="AP40" s="12">
        <f>I40*(1-0.93)</f>
        <v>0</v>
      </c>
      <c r="AQ40" s="74" t="s">
        <v>125</v>
      </c>
      <c r="AV40" s="12">
        <f>AW40+AX40</f>
        <v>0</v>
      </c>
      <c r="AW40" s="12">
        <f>H40*AO40</f>
        <v>0</v>
      </c>
      <c r="AX40" s="12">
        <f>H40*AP40</f>
        <v>0</v>
      </c>
      <c r="AY40" s="75" t="s">
        <v>381</v>
      </c>
      <c r="AZ40" s="75" t="s">
        <v>395</v>
      </c>
      <c r="BA40" s="73" t="s">
        <v>408</v>
      </c>
      <c r="BC40" s="12">
        <f>AW40+AX40</f>
        <v>0</v>
      </c>
      <c r="BD40" s="12">
        <f>I40/(100-BE40)*100</f>
        <v>0</v>
      </c>
      <c r="BE40" s="12">
        <v>0</v>
      </c>
      <c r="BF40" s="12">
        <f>40</f>
        <v>40</v>
      </c>
      <c r="BH40" s="61">
        <f>H40*AO40</f>
        <v>0</v>
      </c>
      <c r="BI40" s="61">
        <f>H40*AP40</f>
        <v>0</v>
      </c>
      <c r="BJ40" s="61">
        <f>H40*I40</f>
        <v>0</v>
      </c>
      <c r="BK40" s="61" t="s">
        <v>414</v>
      </c>
      <c r="BL40" s="12">
        <v>725</v>
      </c>
    </row>
    <row r="41" spans="1:14" ht="12.75">
      <c r="A41" s="11"/>
      <c r="B41" s="54" t="s">
        <v>227</v>
      </c>
      <c r="C41" s="164" t="s">
        <v>302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6"/>
      <c r="N41" s="11"/>
    </row>
    <row r="42" spans="1:64" ht="12.75">
      <c r="A42" s="46" t="s">
        <v>137</v>
      </c>
      <c r="B42" s="53" t="s">
        <v>244</v>
      </c>
      <c r="C42" s="162" t="s">
        <v>303</v>
      </c>
      <c r="D42" s="163"/>
      <c r="E42" s="163"/>
      <c r="F42" s="163"/>
      <c r="G42" s="53" t="s">
        <v>352</v>
      </c>
      <c r="H42" s="61">
        <v>1</v>
      </c>
      <c r="I42" s="61">
        <v>0</v>
      </c>
      <c r="J42" s="61">
        <f>H42*AO42</f>
        <v>0</v>
      </c>
      <c r="K42" s="61">
        <f>H42*AP42</f>
        <v>0</v>
      </c>
      <c r="L42" s="61">
        <f>H42*I42</f>
        <v>0</v>
      </c>
      <c r="M42" s="71" t="s">
        <v>367</v>
      </c>
      <c r="N42" s="11"/>
      <c r="Z42" s="12">
        <f>IF(AQ42="5",BJ42,0)</f>
        <v>0</v>
      </c>
      <c r="AB42" s="12">
        <f>IF(AQ42="1",BH42,0)</f>
        <v>0</v>
      </c>
      <c r="AC42" s="12">
        <f>IF(AQ42="1",BI42,0)</f>
        <v>0</v>
      </c>
      <c r="AD42" s="12">
        <f>IF(AQ42="7",BH42,0)</f>
        <v>0</v>
      </c>
      <c r="AE42" s="12">
        <f>IF(AQ42="7",BI42,0)</f>
        <v>0</v>
      </c>
      <c r="AF42" s="12">
        <f>IF(AQ42="2",BH42,0)</f>
        <v>0</v>
      </c>
      <c r="AG42" s="12">
        <f>IF(AQ42="2",BI42,0)</f>
        <v>0</v>
      </c>
      <c r="AH42" s="12">
        <f>IF(AQ42="0",BJ42,0)</f>
        <v>0</v>
      </c>
      <c r="AI42" s="73" t="s">
        <v>6</v>
      </c>
      <c r="AJ42" s="61">
        <f>IF(AN42=0,L42,0)</f>
        <v>0</v>
      </c>
      <c r="AK42" s="61">
        <f>IF(AN42=15,L42,0)</f>
        <v>0</v>
      </c>
      <c r="AL42" s="61">
        <f>IF(AN42=21,L42,0)</f>
        <v>0</v>
      </c>
      <c r="AN42" s="12">
        <v>21</v>
      </c>
      <c r="AO42" s="12">
        <f>I42*0.785388571428571</f>
        <v>0</v>
      </c>
      <c r="AP42" s="12">
        <f>I42*(1-0.785388571428571)</f>
        <v>0</v>
      </c>
      <c r="AQ42" s="74" t="s">
        <v>125</v>
      </c>
      <c r="AV42" s="12">
        <f>AW42+AX42</f>
        <v>0</v>
      </c>
      <c r="AW42" s="12">
        <f>H42*AO42</f>
        <v>0</v>
      </c>
      <c r="AX42" s="12">
        <f>H42*AP42</f>
        <v>0</v>
      </c>
      <c r="AY42" s="75" t="s">
        <v>381</v>
      </c>
      <c r="AZ42" s="75" t="s">
        <v>395</v>
      </c>
      <c r="BA42" s="73" t="s">
        <v>408</v>
      </c>
      <c r="BC42" s="12">
        <f>AW42+AX42</f>
        <v>0</v>
      </c>
      <c r="BD42" s="12">
        <f>I42/(100-BE42)*100</f>
        <v>0</v>
      </c>
      <c r="BE42" s="12">
        <v>0</v>
      </c>
      <c r="BF42" s="12">
        <f>42</f>
        <v>42</v>
      </c>
      <c r="BH42" s="61">
        <f>H42*AO42</f>
        <v>0</v>
      </c>
      <c r="BI42" s="61">
        <f>H42*AP42</f>
        <v>0</v>
      </c>
      <c r="BJ42" s="61">
        <f>H42*I42</f>
        <v>0</v>
      </c>
      <c r="BK42" s="61" t="s">
        <v>414</v>
      </c>
      <c r="BL42" s="12">
        <v>725</v>
      </c>
    </row>
    <row r="43" spans="1:47" ht="12.75">
      <c r="A43" s="45"/>
      <c r="B43" s="52" t="s">
        <v>14</v>
      </c>
      <c r="C43" s="160" t="s">
        <v>30</v>
      </c>
      <c r="D43" s="161"/>
      <c r="E43" s="161"/>
      <c r="F43" s="161"/>
      <c r="G43" s="58" t="s">
        <v>44</v>
      </c>
      <c r="H43" s="58" t="s">
        <v>44</v>
      </c>
      <c r="I43" s="58" t="s">
        <v>44</v>
      </c>
      <c r="J43" s="78">
        <f>SUM(J44:J44)</f>
        <v>0</v>
      </c>
      <c r="K43" s="78">
        <f>SUM(K44:K44)</f>
        <v>0</v>
      </c>
      <c r="L43" s="78">
        <f>SUM(L44:L44)</f>
        <v>0</v>
      </c>
      <c r="M43" s="70"/>
      <c r="N43" s="11"/>
      <c r="AI43" s="73" t="s">
        <v>6</v>
      </c>
      <c r="AS43" s="78">
        <f>SUM(AJ44:AJ44)</f>
        <v>0</v>
      </c>
      <c r="AT43" s="78">
        <f>SUM(AK44:AK44)</f>
        <v>0</v>
      </c>
      <c r="AU43" s="78">
        <f>SUM(AL44:AL44)</f>
        <v>0</v>
      </c>
    </row>
    <row r="44" spans="1:64" ht="12.75">
      <c r="A44" s="46" t="s">
        <v>138</v>
      </c>
      <c r="B44" s="53" t="s">
        <v>245</v>
      </c>
      <c r="C44" s="162" t="s">
        <v>304</v>
      </c>
      <c r="D44" s="163"/>
      <c r="E44" s="163"/>
      <c r="F44" s="163"/>
      <c r="G44" s="53" t="s">
        <v>350</v>
      </c>
      <c r="H44" s="61">
        <v>1</v>
      </c>
      <c r="I44" s="61">
        <v>0</v>
      </c>
      <c r="J44" s="61">
        <f>H44*AO44</f>
        <v>0</v>
      </c>
      <c r="K44" s="61">
        <f>H44*AP44</f>
        <v>0</v>
      </c>
      <c r="L44" s="61">
        <f>H44*I44</f>
        <v>0</v>
      </c>
      <c r="M44" s="71" t="s">
        <v>367</v>
      </c>
      <c r="N44" s="11"/>
      <c r="Z44" s="12">
        <f>IF(AQ44="5",BJ44,0)</f>
        <v>0</v>
      </c>
      <c r="AB44" s="12">
        <f>IF(AQ44="1",BH44,0)</f>
        <v>0</v>
      </c>
      <c r="AC44" s="12">
        <f>IF(AQ44="1",BI44,0)</f>
        <v>0</v>
      </c>
      <c r="AD44" s="12">
        <f>IF(AQ44="7",BH44,0)</f>
        <v>0</v>
      </c>
      <c r="AE44" s="12">
        <f>IF(AQ44="7",BI44,0)</f>
        <v>0</v>
      </c>
      <c r="AF44" s="12">
        <f>IF(AQ44="2",BH44,0)</f>
        <v>0</v>
      </c>
      <c r="AG44" s="12">
        <f>IF(AQ44="2",BI44,0)</f>
        <v>0</v>
      </c>
      <c r="AH44" s="12">
        <f>IF(AQ44="0",BJ44,0)</f>
        <v>0</v>
      </c>
      <c r="AI44" s="73" t="s">
        <v>6</v>
      </c>
      <c r="AJ44" s="61">
        <f>IF(AN44=0,L44,0)</f>
        <v>0</v>
      </c>
      <c r="AK44" s="61">
        <f>IF(AN44=15,L44,0)</f>
        <v>0</v>
      </c>
      <c r="AL44" s="61">
        <f>IF(AN44=21,L44,0)</f>
        <v>0</v>
      </c>
      <c r="AN44" s="12">
        <v>21</v>
      </c>
      <c r="AO44" s="12">
        <f>I44*0</f>
        <v>0</v>
      </c>
      <c r="AP44" s="12">
        <f>I44*(1-0)</f>
        <v>0</v>
      </c>
      <c r="AQ44" s="74" t="s">
        <v>125</v>
      </c>
      <c r="AV44" s="12">
        <f>AW44+AX44</f>
        <v>0</v>
      </c>
      <c r="AW44" s="12">
        <f>H44*AO44</f>
        <v>0</v>
      </c>
      <c r="AX44" s="12">
        <f>H44*AP44</f>
        <v>0</v>
      </c>
      <c r="AY44" s="75" t="s">
        <v>382</v>
      </c>
      <c r="AZ44" s="75" t="s">
        <v>395</v>
      </c>
      <c r="BA44" s="73" t="s">
        <v>408</v>
      </c>
      <c r="BC44" s="12">
        <f>AW44+AX44</f>
        <v>0</v>
      </c>
      <c r="BD44" s="12">
        <f>I44/(100-BE44)*100</f>
        <v>0</v>
      </c>
      <c r="BE44" s="12">
        <v>0</v>
      </c>
      <c r="BF44" s="12">
        <f>44</f>
        <v>44</v>
      </c>
      <c r="BH44" s="61">
        <f>H44*AO44</f>
        <v>0</v>
      </c>
      <c r="BI44" s="61">
        <f>H44*AP44</f>
        <v>0</v>
      </c>
      <c r="BJ44" s="61">
        <f>H44*I44</f>
        <v>0</v>
      </c>
      <c r="BK44" s="61" t="s">
        <v>414</v>
      </c>
      <c r="BL44" s="12">
        <v>728</v>
      </c>
    </row>
    <row r="45" spans="1:47" ht="12.75">
      <c r="A45" s="45"/>
      <c r="B45" s="52" t="s">
        <v>15</v>
      </c>
      <c r="C45" s="160" t="s">
        <v>31</v>
      </c>
      <c r="D45" s="161"/>
      <c r="E45" s="161"/>
      <c r="F45" s="161"/>
      <c r="G45" s="58" t="s">
        <v>44</v>
      </c>
      <c r="H45" s="58" t="s">
        <v>44</v>
      </c>
      <c r="I45" s="58" t="s">
        <v>44</v>
      </c>
      <c r="J45" s="78">
        <f>SUM(J46:J46)</f>
        <v>0</v>
      </c>
      <c r="K45" s="78">
        <f>SUM(K46:K46)</f>
        <v>0</v>
      </c>
      <c r="L45" s="78">
        <f>SUM(L46:L46)</f>
        <v>0</v>
      </c>
      <c r="M45" s="70"/>
      <c r="N45" s="11"/>
      <c r="AI45" s="73" t="s">
        <v>6</v>
      </c>
      <c r="AS45" s="78">
        <f>SUM(AJ46:AJ46)</f>
        <v>0</v>
      </c>
      <c r="AT45" s="78">
        <f>SUM(AK46:AK46)</f>
        <v>0</v>
      </c>
      <c r="AU45" s="78">
        <f>SUM(AL46:AL46)</f>
        <v>0</v>
      </c>
    </row>
    <row r="46" spans="1:64" ht="12.75">
      <c r="A46" s="46" t="s">
        <v>139</v>
      </c>
      <c r="B46" s="53" t="s">
        <v>246</v>
      </c>
      <c r="C46" s="162" t="s">
        <v>305</v>
      </c>
      <c r="D46" s="163"/>
      <c r="E46" s="163"/>
      <c r="F46" s="163"/>
      <c r="G46" s="53" t="s">
        <v>353</v>
      </c>
      <c r="H46" s="61">
        <v>2.4</v>
      </c>
      <c r="I46" s="61">
        <v>0</v>
      </c>
      <c r="J46" s="61">
        <f>H46*AO46</f>
        <v>0</v>
      </c>
      <c r="K46" s="61">
        <f>H46*AP46</f>
        <v>0</v>
      </c>
      <c r="L46" s="61">
        <f>H46*I46</f>
        <v>0</v>
      </c>
      <c r="M46" s="71" t="s">
        <v>367</v>
      </c>
      <c r="N46" s="11"/>
      <c r="Z46" s="12">
        <f>IF(AQ46="5",BJ46,0)</f>
        <v>0</v>
      </c>
      <c r="AB46" s="12">
        <f>IF(AQ46="1",BH46,0)</f>
        <v>0</v>
      </c>
      <c r="AC46" s="12">
        <f>IF(AQ46="1",BI46,0)</f>
        <v>0</v>
      </c>
      <c r="AD46" s="12">
        <f>IF(AQ46="7",BH46,0)</f>
        <v>0</v>
      </c>
      <c r="AE46" s="12">
        <f>IF(AQ46="7",BI46,0)</f>
        <v>0</v>
      </c>
      <c r="AF46" s="12">
        <f>IF(AQ46="2",BH46,0)</f>
        <v>0</v>
      </c>
      <c r="AG46" s="12">
        <f>IF(AQ46="2",BI46,0)</f>
        <v>0</v>
      </c>
      <c r="AH46" s="12">
        <f>IF(AQ46="0",BJ46,0)</f>
        <v>0</v>
      </c>
      <c r="AI46" s="73" t="s">
        <v>6</v>
      </c>
      <c r="AJ46" s="61">
        <f>IF(AN46=0,L46,0)</f>
        <v>0</v>
      </c>
      <c r="AK46" s="61">
        <f>IF(AN46=15,L46,0)</f>
        <v>0</v>
      </c>
      <c r="AL46" s="61">
        <f>IF(AN46=21,L46,0)</f>
        <v>0</v>
      </c>
      <c r="AN46" s="12">
        <v>21</v>
      </c>
      <c r="AO46" s="12">
        <f>I46*0.0860733184165597</f>
        <v>0</v>
      </c>
      <c r="AP46" s="12">
        <f>I46*(1-0.0860733184165597)</f>
        <v>0</v>
      </c>
      <c r="AQ46" s="74" t="s">
        <v>125</v>
      </c>
      <c r="AV46" s="12">
        <f>AW46+AX46</f>
        <v>0</v>
      </c>
      <c r="AW46" s="12">
        <f>H46*AO46</f>
        <v>0</v>
      </c>
      <c r="AX46" s="12">
        <f>H46*AP46</f>
        <v>0</v>
      </c>
      <c r="AY46" s="75" t="s">
        <v>383</v>
      </c>
      <c r="AZ46" s="75" t="s">
        <v>396</v>
      </c>
      <c r="BA46" s="73" t="s">
        <v>408</v>
      </c>
      <c r="BC46" s="12">
        <f>AW46+AX46</f>
        <v>0</v>
      </c>
      <c r="BD46" s="12">
        <f>I46/(100-BE46)*100</f>
        <v>0</v>
      </c>
      <c r="BE46" s="12">
        <v>0</v>
      </c>
      <c r="BF46" s="12">
        <f>46</f>
        <v>46</v>
      </c>
      <c r="BH46" s="61">
        <f>H46*AO46</f>
        <v>0</v>
      </c>
      <c r="BI46" s="61">
        <f>H46*AP46</f>
        <v>0</v>
      </c>
      <c r="BJ46" s="61">
        <f>H46*I46</f>
        <v>0</v>
      </c>
      <c r="BK46" s="61" t="s">
        <v>414</v>
      </c>
      <c r="BL46" s="12">
        <v>764</v>
      </c>
    </row>
    <row r="47" spans="1:47" ht="12.75">
      <c r="A47" s="45"/>
      <c r="B47" s="52" t="s">
        <v>16</v>
      </c>
      <c r="C47" s="160" t="s">
        <v>32</v>
      </c>
      <c r="D47" s="161"/>
      <c r="E47" s="161"/>
      <c r="F47" s="161"/>
      <c r="G47" s="58" t="s">
        <v>44</v>
      </c>
      <c r="H47" s="58" t="s">
        <v>44</v>
      </c>
      <c r="I47" s="58" t="s">
        <v>44</v>
      </c>
      <c r="J47" s="78">
        <f>SUM(J48:J60)</f>
        <v>0</v>
      </c>
      <c r="K47" s="78">
        <f>SUM(K48:K60)</f>
        <v>0</v>
      </c>
      <c r="L47" s="78">
        <f>SUM(L48:L60)</f>
        <v>0</v>
      </c>
      <c r="M47" s="70"/>
      <c r="N47" s="11"/>
      <c r="AI47" s="73" t="s">
        <v>6</v>
      </c>
      <c r="AS47" s="78">
        <f>SUM(AJ48:AJ60)</f>
        <v>0</v>
      </c>
      <c r="AT47" s="78">
        <f>SUM(AK48:AK60)</f>
        <v>0</v>
      </c>
      <c r="AU47" s="78">
        <f>SUM(AL48:AL60)</f>
        <v>0</v>
      </c>
    </row>
    <row r="48" spans="1:64" ht="12.75">
      <c r="A48" s="46" t="s">
        <v>140</v>
      </c>
      <c r="B48" s="53" t="s">
        <v>247</v>
      </c>
      <c r="C48" s="162" t="s">
        <v>306</v>
      </c>
      <c r="D48" s="163"/>
      <c r="E48" s="163"/>
      <c r="F48" s="163"/>
      <c r="G48" s="53" t="s">
        <v>350</v>
      </c>
      <c r="H48" s="61">
        <v>5</v>
      </c>
      <c r="I48" s="61">
        <v>0</v>
      </c>
      <c r="J48" s="61">
        <f>H48*AO48</f>
        <v>0</v>
      </c>
      <c r="K48" s="61">
        <f>H48*AP48</f>
        <v>0</v>
      </c>
      <c r="L48" s="61">
        <f>H48*I48</f>
        <v>0</v>
      </c>
      <c r="M48" s="71" t="s">
        <v>367</v>
      </c>
      <c r="N48" s="11"/>
      <c r="Z48" s="12">
        <f>IF(AQ48="5",BJ48,0)</f>
        <v>0</v>
      </c>
      <c r="AB48" s="12">
        <f>IF(AQ48="1",BH48,0)</f>
        <v>0</v>
      </c>
      <c r="AC48" s="12">
        <f>IF(AQ48="1",BI48,0)</f>
        <v>0</v>
      </c>
      <c r="AD48" s="12">
        <f>IF(AQ48="7",BH48,0)</f>
        <v>0</v>
      </c>
      <c r="AE48" s="12">
        <f>IF(AQ48="7",BI48,0)</f>
        <v>0</v>
      </c>
      <c r="AF48" s="12">
        <f>IF(AQ48="2",BH48,0)</f>
        <v>0</v>
      </c>
      <c r="AG48" s="12">
        <f>IF(AQ48="2",BI48,0)</f>
        <v>0</v>
      </c>
      <c r="AH48" s="12">
        <f>IF(AQ48="0",BJ48,0)</f>
        <v>0</v>
      </c>
      <c r="AI48" s="73" t="s">
        <v>6</v>
      </c>
      <c r="AJ48" s="61">
        <f>IF(AN48=0,L48,0)</f>
        <v>0</v>
      </c>
      <c r="AK48" s="61">
        <f>IF(AN48=15,L48,0)</f>
        <v>0</v>
      </c>
      <c r="AL48" s="61">
        <f>IF(AN48=21,L48,0)</f>
        <v>0</v>
      </c>
      <c r="AN48" s="12">
        <v>21</v>
      </c>
      <c r="AO48" s="12">
        <f>I48*0.425174897792868</f>
        <v>0</v>
      </c>
      <c r="AP48" s="12">
        <f>I48*(1-0.425174897792868)</f>
        <v>0</v>
      </c>
      <c r="AQ48" s="74" t="s">
        <v>125</v>
      </c>
      <c r="AV48" s="12">
        <f>AW48+AX48</f>
        <v>0</v>
      </c>
      <c r="AW48" s="12">
        <f>H48*AO48</f>
        <v>0</v>
      </c>
      <c r="AX48" s="12">
        <f>H48*AP48</f>
        <v>0</v>
      </c>
      <c r="AY48" s="75" t="s">
        <v>384</v>
      </c>
      <c r="AZ48" s="75" t="s">
        <v>396</v>
      </c>
      <c r="BA48" s="73" t="s">
        <v>408</v>
      </c>
      <c r="BC48" s="12">
        <f>AW48+AX48</f>
        <v>0</v>
      </c>
      <c r="BD48" s="12">
        <f>I48/(100-BE48)*100</f>
        <v>0</v>
      </c>
      <c r="BE48" s="12">
        <v>0</v>
      </c>
      <c r="BF48" s="12">
        <f>48</f>
        <v>48</v>
      </c>
      <c r="BH48" s="61">
        <f>H48*AO48</f>
        <v>0</v>
      </c>
      <c r="BI48" s="61">
        <f>H48*AP48</f>
        <v>0</v>
      </c>
      <c r="BJ48" s="61">
        <f>H48*I48</f>
        <v>0</v>
      </c>
      <c r="BK48" s="61" t="s">
        <v>414</v>
      </c>
      <c r="BL48" s="12">
        <v>767</v>
      </c>
    </row>
    <row r="49" spans="1:14" ht="12.75">
      <c r="A49" s="11"/>
      <c r="B49" s="54" t="s">
        <v>227</v>
      </c>
      <c r="C49" s="164" t="s">
        <v>307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6"/>
      <c r="N49" s="11"/>
    </row>
    <row r="50" spans="1:64" ht="12.75">
      <c r="A50" s="46" t="s">
        <v>141</v>
      </c>
      <c r="B50" s="53" t="s">
        <v>248</v>
      </c>
      <c r="C50" s="162" t="s">
        <v>308</v>
      </c>
      <c r="D50" s="163"/>
      <c r="E50" s="163"/>
      <c r="F50" s="163"/>
      <c r="G50" s="53" t="s">
        <v>350</v>
      </c>
      <c r="H50" s="61">
        <v>2</v>
      </c>
      <c r="I50" s="61">
        <v>0</v>
      </c>
      <c r="J50" s="61">
        <f>H50*AO50</f>
        <v>0</v>
      </c>
      <c r="K50" s="61">
        <f>H50*AP50</f>
        <v>0</v>
      </c>
      <c r="L50" s="61">
        <f>H50*I50</f>
        <v>0</v>
      </c>
      <c r="M50" s="71" t="s">
        <v>367</v>
      </c>
      <c r="N50" s="11"/>
      <c r="Z50" s="12">
        <f>IF(AQ50="5",BJ50,0)</f>
        <v>0</v>
      </c>
      <c r="AB50" s="12">
        <f>IF(AQ50="1",BH50,0)</f>
        <v>0</v>
      </c>
      <c r="AC50" s="12">
        <f>IF(AQ50="1",BI50,0)</f>
        <v>0</v>
      </c>
      <c r="AD50" s="12">
        <f>IF(AQ50="7",BH50,0)</f>
        <v>0</v>
      </c>
      <c r="AE50" s="12">
        <f>IF(AQ50="7",BI50,0)</f>
        <v>0</v>
      </c>
      <c r="AF50" s="12">
        <f>IF(AQ50="2",BH50,0)</f>
        <v>0</v>
      </c>
      <c r="AG50" s="12">
        <f>IF(AQ50="2",BI50,0)</f>
        <v>0</v>
      </c>
      <c r="AH50" s="12">
        <f>IF(AQ50="0",BJ50,0)</f>
        <v>0</v>
      </c>
      <c r="AI50" s="73" t="s">
        <v>6</v>
      </c>
      <c r="AJ50" s="61">
        <f>IF(AN50=0,L50,0)</f>
        <v>0</v>
      </c>
      <c r="AK50" s="61">
        <f>IF(AN50=15,L50,0)</f>
        <v>0</v>
      </c>
      <c r="AL50" s="61">
        <f>IF(AN50=21,L50,0)</f>
        <v>0</v>
      </c>
      <c r="AN50" s="12">
        <v>21</v>
      </c>
      <c r="AO50" s="12">
        <f>I50*0.81903</f>
        <v>0</v>
      </c>
      <c r="AP50" s="12">
        <f>I50*(1-0.81903)</f>
        <v>0</v>
      </c>
      <c r="AQ50" s="74" t="s">
        <v>125</v>
      </c>
      <c r="AV50" s="12">
        <f>AW50+AX50</f>
        <v>0</v>
      </c>
      <c r="AW50" s="12">
        <f>H50*AO50</f>
        <v>0</v>
      </c>
      <c r="AX50" s="12">
        <f>H50*AP50</f>
        <v>0</v>
      </c>
      <c r="AY50" s="75" t="s">
        <v>384</v>
      </c>
      <c r="AZ50" s="75" t="s">
        <v>396</v>
      </c>
      <c r="BA50" s="73" t="s">
        <v>408</v>
      </c>
      <c r="BC50" s="12">
        <f>AW50+AX50</f>
        <v>0</v>
      </c>
      <c r="BD50" s="12">
        <f>I50/(100-BE50)*100</f>
        <v>0</v>
      </c>
      <c r="BE50" s="12">
        <v>0</v>
      </c>
      <c r="BF50" s="12">
        <f>50</f>
        <v>50</v>
      </c>
      <c r="BH50" s="61">
        <f>H50*AO50</f>
        <v>0</v>
      </c>
      <c r="BI50" s="61">
        <f>H50*AP50</f>
        <v>0</v>
      </c>
      <c r="BJ50" s="61">
        <f>H50*I50</f>
        <v>0</v>
      </c>
      <c r="BK50" s="61" t="s">
        <v>414</v>
      </c>
      <c r="BL50" s="12">
        <v>767</v>
      </c>
    </row>
    <row r="51" spans="1:14" ht="12.75">
      <c r="A51" s="11"/>
      <c r="B51" s="54" t="s">
        <v>227</v>
      </c>
      <c r="C51" s="164" t="s">
        <v>309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6"/>
      <c r="N51" s="11"/>
    </row>
    <row r="52" spans="1:64" ht="12.75">
      <c r="A52" s="46" t="s">
        <v>142</v>
      </c>
      <c r="B52" s="53" t="s">
        <v>248</v>
      </c>
      <c r="C52" s="162" t="s">
        <v>310</v>
      </c>
      <c r="D52" s="163"/>
      <c r="E52" s="163"/>
      <c r="F52" s="163"/>
      <c r="G52" s="53" t="s">
        <v>350</v>
      </c>
      <c r="H52" s="61">
        <v>1</v>
      </c>
      <c r="I52" s="61">
        <v>0</v>
      </c>
      <c r="J52" s="61">
        <f>H52*AO52</f>
        <v>0</v>
      </c>
      <c r="K52" s="61">
        <f>H52*AP52</f>
        <v>0</v>
      </c>
      <c r="L52" s="61">
        <f>H52*I52</f>
        <v>0</v>
      </c>
      <c r="M52" s="71" t="s">
        <v>367</v>
      </c>
      <c r="N52" s="11"/>
      <c r="Z52" s="12">
        <f>IF(AQ52="5",BJ52,0)</f>
        <v>0</v>
      </c>
      <c r="AB52" s="12">
        <f>IF(AQ52="1",BH52,0)</f>
        <v>0</v>
      </c>
      <c r="AC52" s="12">
        <f>IF(AQ52="1",BI52,0)</f>
        <v>0</v>
      </c>
      <c r="AD52" s="12">
        <f>IF(AQ52="7",BH52,0)</f>
        <v>0</v>
      </c>
      <c r="AE52" s="12">
        <f>IF(AQ52="7",BI52,0)</f>
        <v>0</v>
      </c>
      <c r="AF52" s="12">
        <f>IF(AQ52="2",BH52,0)</f>
        <v>0</v>
      </c>
      <c r="AG52" s="12">
        <f>IF(AQ52="2",BI52,0)</f>
        <v>0</v>
      </c>
      <c r="AH52" s="12">
        <f>IF(AQ52="0",BJ52,0)</f>
        <v>0</v>
      </c>
      <c r="AI52" s="73" t="s">
        <v>6</v>
      </c>
      <c r="AJ52" s="61">
        <f>IF(AN52=0,L52,0)</f>
        <v>0</v>
      </c>
      <c r="AK52" s="61">
        <f>IF(AN52=15,L52,0)</f>
        <v>0</v>
      </c>
      <c r="AL52" s="61">
        <f>IF(AN52=21,L52,0)</f>
        <v>0</v>
      </c>
      <c r="AN52" s="12">
        <v>21</v>
      </c>
      <c r="AO52" s="12">
        <f>I52*0.81903</f>
        <v>0</v>
      </c>
      <c r="AP52" s="12">
        <f>I52*(1-0.81903)</f>
        <v>0</v>
      </c>
      <c r="AQ52" s="74" t="s">
        <v>125</v>
      </c>
      <c r="AV52" s="12">
        <f>AW52+AX52</f>
        <v>0</v>
      </c>
      <c r="AW52" s="12">
        <f>H52*AO52</f>
        <v>0</v>
      </c>
      <c r="AX52" s="12">
        <f>H52*AP52</f>
        <v>0</v>
      </c>
      <c r="AY52" s="75" t="s">
        <v>384</v>
      </c>
      <c r="AZ52" s="75" t="s">
        <v>396</v>
      </c>
      <c r="BA52" s="73" t="s">
        <v>408</v>
      </c>
      <c r="BC52" s="12">
        <f>AW52+AX52</f>
        <v>0</v>
      </c>
      <c r="BD52" s="12">
        <f>I52/(100-BE52)*100</f>
        <v>0</v>
      </c>
      <c r="BE52" s="12">
        <v>0</v>
      </c>
      <c r="BF52" s="12">
        <f>52</f>
        <v>52</v>
      </c>
      <c r="BH52" s="61">
        <f>H52*AO52</f>
        <v>0</v>
      </c>
      <c r="BI52" s="61">
        <f>H52*AP52</f>
        <v>0</v>
      </c>
      <c r="BJ52" s="61">
        <f>H52*I52</f>
        <v>0</v>
      </c>
      <c r="BK52" s="61" t="s">
        <v>414</v>
      </c>
      <c r="BL52" s="12">
        <v>767</v>
      </c>
    </row>
    <row r="53" spans="1:14" ht="12.75">
      <c r="A53" s="11"/>
      <c r="B53" s="54" t="s">
        <v>227</v>
      </c>
      <c r="C53" s="164" t="s">
        <v>309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6"/>
      <c r="N53" s="11"/>
    </row>
    <row r="54" spans="1:64" ht="12.75">
      <c r="A54" s="46" t="s">
        <v>143</v>
      </c>
      <c r="B54" s="53" t="s">
        <v>248</v>
      </c>
      <c r="C54" s="162" t="s">
        <v>311</v>
      </c>
      <c r="D54" s="163"/>
      <c r="E54" s="163"/>
      <c r="F54" s="163"/>
      <c r="G54" s="53" t="s">
        <v>350</v>
      </c>
      <c r="H54" s="61">
        <v>1</v>
      </c>
      <c r="I54" s="61">
        <v>0</v>
      </c>
      <c r="J54" s="61">
        <f>H54*AO54</f>
        <v>0</v>
      </c>
      <c r="K54" s="61">
        <f>H54*AP54</f>
        <v>0</v>
      </c>
      <c r="L54" s="61">
        <f>H54*I54</f>
        <v>0</v>
      </c>
      <c r="M54" s="71" t="s">
        <v>367</v>
      </c>
      <c r="N54" s="11"/>
      <c r="Z54" s="12">
        <f>IF(AQ54="5",BJ54,0)</f>
        <v>0</v>
      </c>
      <c r="AB54" s="12">
        <f>IF(AQ54="1",BH54,0)</f>
        <v>0</v>
      </c>
      <c r="AC54" s="12">
        <f>IF(AQ54="1",BI54,0)</f>
        <v>0</v>
      </c>
      <c r="AD54" s="12">
        <f>IF(AQ54="7",BH54,0)</f>
        <v>0</v>
      </c>
      <c r="AE54" s="12">
        <f>IF(AQ54="7",BI54,0)</f>
        <v>0</v>
      </c>
      <c r="AF54" s="12">
        <f>IF(AQ54="2",BH54,0)</f>
        <v>0</v>
      </c>
      <c r="AG54" s="12">
        <f>IF(AQ54="2",BI54,0)</f>
        <v>0</v>
      </c>
      <c r="AH54" s="12">
        <f>IF(AQ54="0",BJ54,0)</f>
        <v>0</v>
      </c>
      <c r="AI54" s="73" t="s">
        <v>6</v>
      </c>
      <c r="AJ54" s="61">
        <f>IF(AN54=0,L54,0)</f>
        <v>0</v>
      </c>
      <c r="AK54" s="61">
        <f>IF(AN54=15,L54,0)</f>
        <v>0</v>
      </c>
      <c r="AL54" s="61">
        <f>IF(AN54=21,L54,0)</f>
        <v>0</v>
      </c>
      <c r="AN54" s="12">
        <v>21</v>
      </c>
      <c r="AO54" s="12">
        <f>I54*0.81903</f>
        <v>0</v>
      </c>
      <c r="AP54" s="12">
        <f>I54*(1-0.81903)</f>
        <v>0</v>
      </c>
      <c r="AQ54" s="74" t="s">
        <v>125</v>
      </c>
      <c r="AV54" s="12">
        <f>AW54+AX54</f>
        <v>0</v>
      </c>
      <c r="AW54" s="12">
        <f>H54*AO54</f>
        <v>0</v>
      </c>
      <c r="AX54" s="12">
        <f>H54*AP54</f>
        <v>0</v>
      </c>
      <c r="AY54" s="75" t="s">
        <v>384</v>
      </c>
      <c r="AZ54" s="75" t="s">
        <v>396</v>
      </c>
      <c r="BA54" s="73" t="s">
        <v>408</v>
      </c>
      <c r="BC54" s="12">
        <f>AW54+AX54</f>
        <v>0</v>
      </c>
      <c r="BD54" s="12">
        <f>I54/(100-BE54)*100</f>
        <v>0</v>
      </c>
      <c r="BE54" s="12">
        <v>0</v>
      </c>
      <c r="BF54" s="12">
        <f>54</f>
        <v>54</v>
      </c>
      <c r="BH54" s="61">
        <f>H54*AO54</f>
        <v>0</v>
      </c>
      <c r="BI54" s="61">
        <f>H54*AP54</f>
        <v>0</v>
      </c>
      <c r="BJ54" s="61">
        <f>H54*I54</f>
        <v>0</v>
      </c>
      <c r="BK54" s="61" t="s">
        <v>414</v>
      </c>
      <c r="BL54" s="12">
        <v>767</v>
      </c>
    </row>
    <row r="55" spans="1:14" ht="12.75">
      <c r="A55" s="11"/>
      <c r="B55" s="54" t="s">
        <v>227</v>
      </c>
      <c r="C55" s="164" t="s">
        <v>309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6"/>
      <c r="N55" s="11"/>
    </row>
    <row r="56" spans="1:64" ht="12.75">
      <c r="A56" s="46" t="s">
        <v>144</v>
      </c>
      <c r="B56" s="53" t="s">
        <v>249</v>
      </c>
      <c r="C56" s="162" t="s">
        <v>312</v>
      </c>
      <c r="D56" s="163"/>
      <c r="E56" s="163"/>
      <c r="F56" s="163"/>
      <c r="G56" s="53" t="s">
        <v>350</v>
      </c>
      <c r="H56" s="61">
        <v>1</v>
      </c>
      <c r="I56" s="61">
        <v>0</v>
      </c>
      <c r="J56" s="61">
        <f>H56*AO56</f>
        <v>0</v>
      </c>
      <c r="K56" s="61">
        <f>H56*AP56</f>
        <v>0</v>
      </c>
      <c r="L56" s="61">
        <f>H56*I56</f>
        <v>0</v>
      </c>
      <c r="M56" s="71" t="s">
        <v>367</v>
      </c>
      <c r="N56" s="11"/>
      <c r="Z56" s="12">
        <f>IF(AQ56="5",BJ56,0)</f>
        <v>0</v>
      </c>
      <c r="AB56" s="12">
        <f>IF(AQ56="1",BH56,0)</f>
        <v>0</v>
      </c>
      <c r="AC56" s="12">
        <f>IF(AQ56="1",BI56,0)</f>
        <v>0</v>
      </c>
      <c r="AD56" s="12">
        <f>IF(AQ56="7",BH56,0)</f>
        <v>0</v>
      </c>
      <c r="AE56" s="12">
        <f>IF(AQ56="7",BI56,0)</f>
        <v>0</v>
      </c>
      <c r="AF56" s="12">
        <f>IF(AQ56="2",BH56,0)</f>
        <v>0</v>
      </c>
      <c r="AG56" s="12">
        <f>IF(AQ56="2",BI56,0)</f>
        <v>0</v>
      </c>
      <c r="AH56" s="12">
        <f>IF(AQ56="0",BJ56,0)</f>
        <v>0</v>
      </c>
      <c r="AI56" s="73" t="s">
        <v>6</v>
      </c>
      <c r="AJ56" s="61">
        <f>IF(AN56=0,L56,0)</f>
        <v>0</v>
      </c>
      <c r="AK56" s="61">
        <f>IF(AN56=15,L56,0)</f>
        <v>0</v>
      </c>
      <c r="AL56" s="61">
        <f>IF(AN56=21,L56,0)</f>
        <v>0</v>
      </c>
      <c r="AN56" s="12">
        <v>21</v>
      </c>
      <c r="AO56" s="12">
        <f>I56*0.589572855380876</f>
        <v>0</v>
      </c>
      <c r="AP56" s="12">
        <f>I56*(1-0.589572855380876)</f>
        <v>0</v>
      </c>
      <c r="AQ56" s="74" t="s">
        <v>125</v>
      </c>
      <c r="AV56" s="12">
        <f>AW56+AX56</f>
        <v>0</v>
      </c>
      <c r="AW56" s="12">
        <f>H56*AO56</f>
        <v>0</v>
      </c>
      <c r="AX56" s="12">
        <f>H56*AP56</f>
        <v>0</v>
      </c>
      <c r="AY56" s="75" t="s">
        <v>384</v>
      </c>
      <c r="AZ56" s="75" t="s">
        <v>396</v>
      </c>
      <c r="BA56" s="73" t="s">
        <v>408</v>
      </c>
      <c r="BC56" s="12">
        <f>AW56+AX56</f>
        <v>0</v>
      </c>
      <c r="BD56" s="12">
        <f>I56/(100-BE56)*100</f>
        <v>0</v>
      </c>
      <c r="BE56" s="12">
        <v>0</v>
      </c>
      <c r="BF56" s="12">
        <f>56</f>
        <v>56</v>
      </c>
      <c r="BH56" s="61">
        <f>H56*AO56</f>
        <v>0</v>
      </c>
      <c r="BI56" s="61">
        <f>H56*AP56</f>
        <v>0</v>
      </c>
      <c r="BJ56" s="61">
        <f>H56*I56</f>
        <v>0</v>
      </c>
      <c r="BK56" s="61" t="s">
        <v>414</v>
      </c>
      <c r="BL56" s="12">
        <v>767</v>
      </c>
    </row>
    <row r="57" spans="1:14" ht="12.75">
      <c r="A57" s="11"/>
      <c r="B57" s="54" t="s">
        <v>227</v>
      </c>
      <c r="C57" s="164" t="s">
        <v>313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6"/>
      <c r="N57" s="11"/>
    </row>
    <row r="58" spans="1:64" ht="12.75">
      <c r="A58" s="46" t="s">
        <v>145</v>
      </c>
      <c r="B58" s="53" t="s">
        <v>250</v>
      </c>
      <c r="C58" s="162" t="s">
        <v>314</v>
      </c>
      <c r="D58" s="163"/>
      <c r="E58" s="163"/>
      <c r="F58" s="163"/>
      <c r="G58" s="53" t="s">
        <v>350</v>
      </c>
      <c r="H58" s="61">
        <v>2</v>
      </c>
      <c r="I58" s="61">
        <v>0</v>
      </c>
      <c r="J58" s="61">
        <f>H58*AO58</f>
        <v>0</v>
      </c>
      <c r="K58" s="61">
        <f>H58*AP58</f>
        <v>0</v>
      </c>
      <c r="L58" s="61">
        <f>H58*I58</f>
        <v>0</v>
      </c>
      <c r="M58" s="71" t="s">
        <v>367</v>
      </c>
      <c r="N58" s="11"/>
      <c r="Z58" s="12">
        <f>IF(AQ58="5",BJ58,0)</f>
        <v>0</v>
      </c>
      <c r="AB58" s="12">
        <f>IF(AQ58="1",BH58,0)</f>
        <v>0</v>
      </c>
      <c r="AC58" s="12">
        <f>IF(AQ58="1",BI58,0)</f>
        <v>0</v>
      </c>
      <c r="AD58" s="12">
        <f>IF(AQ58="7",BH58,0)</f>
        <v>0</v>
      </c>
      <c r="AE58" s="12">
        <f>IF(AQ58="7",BI58,0)</f>
        <v>0</v>
      </c>
      <c r="AF58" s="12">
        <f>IF(AQ58="2",BH58,0)</f>
        <v>0</v>
      </c>
      <c r="AG58" s="12">
        <f>IF(AQ58="2",BI58,0)</f>
        <v>0</v>
      </c>
      <c r="AH58" s="12">
        <f>IF(AQ58="0",BJ58,0)</f>
        <v>0</v>
      </c>
      <c r="AI58" s="73" t="s">
        <v>6</v>
      </c>
      <c r="AJ58" s="61">
        <f>IF(AN58=0,L58,0)</f>
        <v>0</v>
      </c>
      <c r="AK58" s="61">
        <f>IF(AN58=15,L58,0)</f>
        <v>0</v>
      </c>
      <c r="AL58" s="61">
        <f>IF(AN58=21,L58,0)</f>
        <v>0</v>
      </c>
      <c r="AN58" s="12">
        <v>21</v>
      </c>
      <c r="AO58" s="12">
        <f>I58*0.8618</f>
        <v>0</v>
      </c>
      <c r="AP58" s="12">
        <f>I58*(1-0.8618)</f>
        <v>0</v>
      </c>
      <c r="AQ58" s="74" t="s">
        <v>125</v>
      </c>
      <c r="AV58" s="12">
        <f>AW58+AX58</f>
        <v>0</v>
      </c>
      <c r="AW58" s="12">
        <f>H58*AO58</f>
        <v>0</v>
      </c>
      <c r="AX58" s="12">
        <f>H58*AP58</f>
        <v>0</v>
      </c>
      <c r="AY58" s="75" t="s">
        <v>384</v>
      </c>
      <c r="AZ58" s="75" t="s">
        <v>396</v>
      </c>
      <c r="BA58" s="73" t="s">
        <v>408</v>
      </c>
      <c r="BC58" s="12">
        <f>AW58+AX58</f>
        <v>0</v>
      </c>
      <c r="BD58" s="12">
        <f>I58/(100-BE58)*100</f>
        <v>0</v>
      </c>
      <c r="BE58" s="12">
        <v>0</v>
      </c>
      <c r="BF58" s="12">
        <f>58</f>
        <v>58</v>
      </c>
      <c r="BH58" s="61">
        <f>H58*AO58</f>
        <v>0</v>
      </c>
      <c r="BI58" s="61">
        <f>H58*AP58</f>
        <v>0</v>
      </c>
      <c r="BJ58" s="61">
        <f>H58*I58</f>
        <v>0</v>
      </c>
      <c r="BK58" s="61" t="s">
        <v>414</v>
      </c>
      <c r="BL58" s="12">
        <v>767</v>
      </c>
    </row>
    <row r="59" spans="1:14" ht="12.75">
      <c r="A59" s="11"/>
      <c r="B59" s="54" t="s">
        <v>227</v>
      </c>
      <c r="C59" s="164" t="s">
        <v>315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6"/>
      <c r="N59" s="11"/>
    </row>
    <row r="60" spans="1:64" ht="12.75">
      <c r="A60" s="46" t="s">
        <v>146</v>
      </c>
      <c r="B60" s="53" t="s">
        <v>251</v>
      </c>
      <c r="C60" s="162" t="s">
        <v>316</v>
      </c>
      <c r="D60" s="163"/>
      <c r="E60" s="163"/>
      <c r="F60" s="163"/>
      <c r="G60" s="53" t="s">
        <v>350</v>
      </c>
      <c r="H60" s="61">
        <v>5</v>
      </c>
      <c r="I60" s="61">
        <v>0</v>
      </c>
      <c r="J60" s="61">
        <f>H60*AO60</f>
        <v>0</v>
      </c>
      <c r="K60" s="61">
        <f>H60*AP60</f>
        <v>0</v>
      </c>
      <c r="L60" s="61">
        <f>H60*I60</f>
        <v>0</v>
      </c>
      <c r="M60" s="71"/>
      <c r="N60" s="11"/>
      <c r="Z60" s="12">
        <f>IF(AQ60="5",BJ60,0)</f>
        <v>0</v>
      </c>
      <c r="AB60" s="12">
        <f>IF(AQ60="1",BH60,0)</f>
        <v>0</v>
      </c>
      <c r="AC60" s="12">
        <f>IF(AQ60="1",BI60,0)</f>
        <v>0</v>
      </c>
      <c r="AD60" s="12">
        <f>IF(AQ60="7",BH60,0)</f>
        <v>0</v>
      </c>
      <c r="AE60" s="12">
        <f>IF(AQ60="7",BI60,0)</f>
        <v>0</v>
      </c>
      <c r="AF60" s="12">
        <f>IF(AQ60="2",BH60,0)</f>
        <v>0</v>
      </c>
      <c r="AG60" s="12">
        <f>IF(AQ60="2",BI60,0)</f>
        <v>0</v>
      </c>
      <c r="AH60" s="12">
        <f>IF(AQ60="0",BJ60,0)</f>
        <v>0</v>
      </c>
      <c r="AI60" s="73" t="s">
        <v>6</v>
      </c>
      <c r="AJ60" s="61">
        <f>IF(AN60=0,L60,0)</f>
        <v>0</v>
      </c>
      <c r="AK60" s="61">
        <f>IF(AN60=15,L60,0)</f>
        <v>0</v>
      </c>
      <c r="AL60" s="61">
        <f>IF(AN60=21,L60,0)</f>
        <v>0</v>
      </c>
      <c r="AN60" s="12">
        <v>21</v>
      </c>
      <c r="AO60" s="12">
        <f>I60*0</f>
        <v>0</v>
      </c>
      <c r="AP60" s="12">
        <f>I60*(1-0)</f>
        <v>0</v>
      </c>
      <c r="AQ60" s="74" t="s">
        <v>125</v>
      </c>
      <c r="AV60" s="12">
        <f>AW60+AX60</f>
        <v>0</v>
      </c>
      <c r="AW60" s="12">
        <f>H60*AO60</f>
        <v>0</v>
      </c>
      <c r="AX60" s="12">
        <f>H60*AP60</f>
        <v>0</v>
      </c>
      <c r="AY60" s="75" t="s">
        <v>384</v>
      </c>
      <c r="AZ60" s="75" t="s">
        <v>396</v>
      </c>
      <c r="BA60" s="73" t="s">
        <v>408</v>
      </c>
      <c r="BC60" s="12">
        <f>AW60+AX60</f>
        <v>0</v>
      </c>
      <c r="BD60" s="12">
        <f>I60/(100-BE60)*100</f>
        <v>0</v>
      </c>
      <c r="BE60" s="12">
        <v>0</v>
      </c>
      <c r="BF60" s="12">
        <f>60</f>
        <v>60</v>
      </c>
      <c r="BH60" s="61">
        <f>H60*AO60</f>
        <v>0</v>
      </c>
      <c r="BI60" s="61">
        <f>H60*AP60</f>
        <v>0</v>
      </c>
      <c r="BJ60" s="61">
        <f>H60*I60</f>
        <v>0</v>
      </c>
      <c r="BK60" s="61" t="s">
        <v>414</v>
      </c>
      <c r="BL60" s="12">
        <v>767</v>
      </c>
    </row>
    <row r="61" spans="1:47" ht="12.75">
      <c r="A61" s="45"/>
      <c r="B61" s="52" t="s">
        <v>17</v>
      </c>
      <c r="C61" s="160" t="s">
        <v>33</v>
      </c>
      <c r="D61" s="161"/>
      <c r="E61" s="161"/>
      <c r="F61" s="161"/>
      <c r="G61" s="58" t="s">
        <v>44</v>
      </c>
      <c r="H61" s="58" t="s">
        <v>44</v>
      </c>
      <c r="I61" s="58" t="s">
        <v>44</v>
      </c>
      <c r="J61" s="78">
        <f>SUM(J62:J65)</f>
        <v>0</v>
      </c>
      <c r="K61" s="78">
        <f>SUM(K62:K65)</f>
        <v>0</v>
      </c>
      <c r="L61" s="78">
        <f>SUM(L62:L65)</f>
        <v>0</v>
      </c>
      <c r="M61" s="70"/>
      <c r="N61" s="11"/>
      <c r="AI61" s="73" t="s">
        <v>6</v>
      </c>
      <c r="AS61" s="78">
        <f>SUM(AJ62:AJ65)</f>
        <v>0</v>
      </c>
      <c r="AT61" s="78">
        <f>SUM(AK62:AK65)</f>
        <v>0</v>
      </c>
      <c r="AU61" s="78">
        <f>SUM(AL62:AL65)</f>
        <v>0</v>
      </c>
    </row>
    <row r="62" spans="1:64" ht="12.75">
      <c r="A62" s="46" t="s">
        <v>147</v>
      </c>
      <c r="B62" s="53" t="s">
        <v>252</v>
      </c>
      <c r="C62" s="162" t="s">
        <v>317</v>
      </c>
      <c r="D62" s="163"/>
      <c r="E62" s="163"/>
      <c r="F62" s="163"/>
      <c r="G62" s="53" t="s">
        <v>349</v>
      </c>
      <c r="H62" s="61">
        <v>4.13</v>
      </c>
      <c r="I62" s="61">
        <v>0</v>
      </c>
      <c r="J62" s="61">
        <f>H62*AO62</f>
        <v>0</v>
      </c>
      <c r="K62" s="61">
        <f>H62*AP62</f>
        <v>0</v>
      </c>
      <c r="L62" s="61">
        <f>H62*I62</f>
        <v>0</v>
      </c>
      <c r="M62" s="71" t="s">
        <v>367</v>
      </c>
      <c r="N62" s="11"/>
      <c r="Z62" s="12">
        <f>IF(AQ62="5",BJ62,0)</f>
        <v>0</v>
      </c>
      <c r="AB62" s="12">
        <f>IF(AQ62="1",BH62,0)</f>
        <v>0</v>
      </c>
      <c r="AC62" s="12">
        <f>IF(AQ62="1",BI62,0)</f>
        <v>0</v>
      </c>
      <c r="AD62" s="12">
        <f>IF(AQ62="7",BH62,0)</f>
        <v>0</v>
      </c>
      <c r="AE62" s="12">
        <f>IF(AQ62="7",BI62,0)</f>
        <v>0</v>
      </c>
      <c r="AF62" s="12">
        <f>IF(AQ62="2",BH62,0)</f>
        <v>0</v>
      </c>
      <c r="AG62" s="12">
        <f>IF(AQ62="2",BI62,0)</f>
        <v>0</v>
      </c>
      <c r="AH62" s="12">
        <f>IF(AQ62="0",BJ62,0)</f>
        <v>0</v>
      </c>
      <c r="AI62" s="73" t="s">
        <v>6</v>
      </c>
      <c r="AJ62" s="61">
        <f>IF(AN62=0,L62,0)</f>
        <v>0</v>
      </c>
      <c r="AK62" s="61">
        <f>IF(AN62=15,L62,0)</f>
        <v>0</v>
      </c>
      <c r="AL62" s="61">
        <f>IF(AN62=21,L62,0)</f>
        <v>0</v>
      </c>
      <c r="AN62" s="12">
        <v>21</v>
      </c>
      <c r="AO62" s="12">
        <f>I62*0.306296647522198</f>
        <v>0</v>
      </c>
      <c r="AP62" s="12">
        <f>I62*(1-0.306296647522198)</f>
        <v>0</v>
      </c>
      <c r="AQ62" s="74" t="s">
        <v>125</v>
      </c>
      <c r="AV62" s="12">
        <f>AW62+AX62</f>
        <v>0</v>
      </c>
      <c r="AW62" s="12">
        <f>H62*AO62</f>
        <v>0</v>
      </c>
      <c r="AX62" s="12">
        <f>H62*AP62</f>
        <v>0</v>
      </c>
      <c r="AY62" s="75" t="s">
        <v>385</v>
      </c>
      <c r="AZ62" s="75" t="s">
        <v>397</v>
      </c>
      <c r="BA62" s="73" t="s">
        <v>408</v>
      </c>
      <c r="BC62" s="12">
        <f>AW62+AX62</f>
        <v>0</v>
      </c>
      <c r="BD62" s="12">
        <f>I62/(100-BE62)*100</f>
        <v>0</v>
      </c>
      <c r="BE62" s="12">
        <v>0</v>
      </c>
      <c r="BF62" s="12">
        <f>62</f>
        <v>62</v>
      </c>
      <c r="BH62" s="61">
        <f>H62*AO62</f>
        <v>0</v>
      </c>
      <c r="BI62" s="61">
        <f>H62*AP62</f>
        <v>0</v>
      </c>
      <c r="BJ62" s="61">
        <f>H62*I62</f>
        <v>0</v>
      </c>
      <c r="BK62" s="61" t="s">
        <v>414</v>
      </c>
      <c r="BL62" s="12">
        <v>771</v>
      </c>
    </row>
    <row r="63" spans="1:64" ht="12.75">
      <c r="A63" s="46" t="s">
        <v>148</v>
      </c>
      <c r="B63" s="53" t="s">
        <v>253</v>
      </c>
      <c r="C63" s="162" t="s">
        <v>318</v>
      </c>
      <c r="D63" s="163"/>
      <c r="E63" s="163"/>
      <c r="F63" s="163"/>
      <c r="G63" s="53" t="s">
        <v>349</v>
      </c>
      <c r="H63" s="61">
        <v>19.3</v>
      </c>
      <c r="I63" s="61">
        <v>0</v>
      </c>
      <c r="J63" s="61">
        <f>H63*AO63</f>
        <v>0</v>
      </c>
      <c r="K63" s="61">
        <f>H63*AP63</f>
        <v>0</v>
      </c>
      <c r="L63" s="61">
        <f>H63*I63</f>
        <v>0</v>
      </c>
      <c r="M63" s="71" t="s">
        <v>367</v>
      </c>
      <c r="N63" s="11"/>
      <c r="Z63" s="12">
        <f>IF(AQ63="5",BJ63,0)</f>
        <v>0</v>
      </c>
      <c r="AB63" s="12">
        <f>IF(AQ63="1",BH63,0)</f>
        <v>0</v>
      </c>
      <c r="AC63" s="12">
        <f>IF(AQ63="1",BI63,0)</f>
        <v>0</v>
      </c>
      <c r="AD63" s="12">
        <f>IF(AQ63="7",BH63,0)</f>
        <v>0</v>
      </c>
      <c r="AE63" s="12">
        <f>IF(AQ63="7",BI63,0)</f>
        <v>0</v>
      </c>
      <c r="AF63" s="12">
        <f>IF(AQ63="2",BH63,0)</f>
        <v>0</v>
      </c>
      <c r="AG63" s="12">
        <f>IF(AQ63="2",BI63,0)</f>
        <v>0</v>
      </c>
      <c r="AH63" s="12">
        <f>IF(AQ63="0",BJ63,0)</f>
        <v>0</v>
      </c>
      <c r="AI63" s="73" t="s">
        <v>6</v>
      </c>
      <c r="AJ63" s="61">
        <f>IF(AN63=0,L63,0)</f>
        <v>0</v>
      </c>
      <c r="AK63" s="61">
        <f>IF(AN63=15,L63,0)</f>
        <v>0</v>
      </c>
      <c r="AL63" s="61">
        <f>IF(AN63=21,L63,0)</f>
        <v>0</v>
      </c>
      <c r="AN63" s="12">
        <v>21</v>
      </c>
      <c r="AO63" s="12">
        <f>I63*0.111586789614284</f>
        <v>0</v>
      </c>
      <c r="AP63" s="12">
        <f>I63*(1-0.111586789614284)</f>
        <v>0</v>
      </c>
      <c r="AQ63" s="74" t="s">
        <v>125</v>
      </c>
      <c r="AV63" s="12">
        <f>AW63+AX63</f>
        <v>0</v>
      </c>
      <c r="AW63" s="12">
        <f>H63*AO63</f>
        <v>0</v>
      </c>
      <c r="AX63" s="12">
        <f>H63*AP63</f>
        <v>0</v>
      </c>
      <c r="AY63" s="75" t="s">
        <v>385</v>
      </c>
      <c r="AZ63" s="75" t="s">
        <v>397</v>
      </c>
      <c r="BA63" s="73" t="s">
        <v>408</v>
      </c>
      <c r="BC63" s="12">
        <f>AW63+AX63</f>
        <v>0</v>
      </c>
      <c r="BD63" s="12">
        <f>I63/(100-BE63)*100</f>
        <v>0</v>
      </c>
      <c r="BE63" s="12">
        <v>0</v>
      </c>
      <c r="BF63" s="12">
        <f>63</f>
        <v>63</v>
      </c>
      <c r="BH63" s="61">
        <f>H63*AO63</f>
        <v>0</v>
      </c>
      <c r="BI63" s="61">
        <f>H63*AP63</f>
        <v>0</v>
      </c>
      <c r="BJ63" s="61">
        <f>H63*I63</f>
        <v>0</v>
      </c>
      <c r="BK63" s="61" t="s">
        <v>414</v>
      </c>
      <c r="BL63" s="12">
        <v>771</v>
      </c>
    </row>
    <row r="64" spans="1:64" ht="12.75">
      <c r="A64" s="46" t="s">
        <v>149</v>
      </c>
      <c r="B64" s="53" t="s">
        <v>254</v>
      </c>
      <c r="C64" s="162" t="s">
        <v>319</v>
      </c>
      <c r="D64" s="163"/>
      <c r="E64" s="163"/>
      <c r="F64" s="163"/>
      <c r="G64" s="53" t="s">
        <v>349</v>
      </c>
      <c r="H64" s="61">
        <v>4.13</v>
      </c>
      <c r="I64" s="61">
        <v>0</v>
      </c>
      <c r="J64" s="61">
        <f>H64*AO64</f>
        <v>0</v>
      </c>
      <c r="K64" s="61">
        <f>H64*AP64</f>
        <v>0</v>
      </c>
      <c r="L64" s="61">
        <f>H64*I64</f>
        <v>0</v>
      </c>
      <c r="M64" s="71"/>
      <c r="N64" s="11"/>
      <c r="Z64" s="12">
        <f>IF(AQ64="5",BJ64,0)</f>
        <v>0</v>
      </c>
      <c r="AB64" s="12">
        <f>IF(AQ64="1",BH64,0)</f>
        <v>0</v>
      </c>
      <c r="AC64" s="12">
        <f>IF(AQ64="1",BI64,0)</f>
        <v>0</v>
      </c>
      <c r="AD64" s="12">
        <f>IF(AQ64="7",BH64,0)</f>
        <v>0</v>
      </c>
      <c r="AE64" s="12">
        <f>IF(AQ64="7",BI64,0)</f>
        <v>0</v>
      </c>
      <c r="AF64" s="12">
        <f>IF(AQ64="2",BH64,0)</f>
        <v>0</v>
      </c>
      <c r="AG64" s="12">
        <f>IF(AQ64="2",BI64,0)</f>
        <v>0</v>
      </c>
      <c r="AH64" s="12">
        <f>IF(AQ64="0",BJ64,0)</f>
        <v>0</v>
      </c>
      <c r="AI64" s="73" t="s">
        <v>6</v>
      </c>
      <c r="AJ64" s="61">
        <f>IF(AN64=0,L64,0)</f>
        <v>0</v>
      </c>
      <c r="AK64" s="61">
        <f>IF(AN64=15,L64,0)</f>
        <v>0</v>
      </c>
      <c r="AL64" s="61">
        <f>IF(AN64=21,L64,0)</f>
        <v>0</v>
      </c>
      <c r="AN64" s="12">
        <v>21</v>
      </c>
      <c r="AO64" s="12">
        <f>I64*0</f>
        <v>0</v>
      </c>
      <c r="AP64" s="12">
        <f>I64*(1-0)</f>
        <v>0</v>
      </c>
      <c r="AQ64" s="74" t="s">
        <v>120</v>
      </c>
      <c r="AV64" s="12">
        <f>AW64+AX64</f>
        <v>0</v>
      </c>
      <c r="AW64" s="12">
        <f>H64*AO64</f>
        <v>0</v>
      </c>
      <c r="AX64" s="12">
        <f>H64*AP64</f>
        <v>0</v>
      </c>
      <c r="AY64" s="75" t="s">
        <v>385</v>
      </c>
      <c r="AZ64" s="75" t="s">
        <v>397</v>
      </c>
      <c r="BA64" s="73" t="s">
        <v>408</v>
      </c>
      <c r="BC64" s="12">
        <f>AW64+AX64</f>
        <v>0</v>
      </c>
      <c r="BD64" s="12">
        <f>I64/(100-BE64)*100</f>
        <v>0</v>
      </c>
      <c r="BE64" s="12">
        <v>0</v>
      </c>
      <c r="BF64" s="12">
        <f>64</f>
        <v>64</v>
      </c>
      <c r="BH64" s="61">
        <f>H64*AO64</f>
        <v>0</v>
      </c>
      <c r="BI64" s="61">
        <f>H64*AP64</f>
        <v>0</v>
      </c>
      <c r="BJ64" s="61">
        <f>H64*I64</f>
        <v>0</v>
      </c>
      <c r="BK64" s="61" t="s">
        <v>414</v>
      </c>
      <c r="BL64" s="12">
        <v>771</v>
      </c>
    </row>
    <row r="65" spans="1:64" ht="12.75">
      <c r="A65" s="46" t="s">
        <v>150</v>
      </c>
      <c r="B65" s="53" t="s">
        <v>254</v>
      </c>
      <c r="C65" s="162" t="s">
        <v>320</v>
      </c>
      <c r="D65" s="163"/>
      <c r="E65" s="163"/>
      <c r="F65" s="163"/>
      <c r="G65" s="53" t="s">
        <v>349</v>
      </c>
      <c r="H65" s="61">
        <v>19.3</v>
      </c>
      <c r="I65" s="61">
        <v>0</v>
      </c>
      <c r="J65" s="61">
        <f>H65*AO65</f>
        <v>0</v>
      </c>
      <c r="K65" s="61">
        <f>H65*AP65</f>
        <v>0</v>
      </c>
      <c r="L65" s="61">
        <f>H65*I65</f>
        <v>0</v>
      </c>
      <c r="M65" s="71"/>
      <c r="N65" s="11"/>
      <c r="Z65" s="12">
        <f>IF(AQ65="5",BJ65,0)</f>
        <v>0</v>
      </c>
      <c r="AB65" s="12">
        <f>IF(AQ65="1",BH65,0)</f>
        <v>0</v>
      </c>
      <c r="AC65" s="12">
        <f>IF(AQ65="1",BI65,0)</f>
        <v>0</v>
      </c>
      <c r="AD65" s="12">
        <f>IF(AQ65="7",BH65,0)</f>
        <v>0</v>
      </c>
      <c r="AE65" s="12">
        <f>IF(AQ65="7",BI65,0)</f>
        <v>0</v>
      </c>
      <c r="AF65" s="12">
        <f>IF(AQ65="2",BH65,0)</f>
        <v>0</v>
      </c>
      <c r="AG65" s="12">
        <f>IF(AQ65="2",BI65,0)</f>
        <v>0</v>
      </c>
      <c r="AH65" s="12">
        <f>IF(AQ65="0",BJ65,0)</f>
        <v>0</v>
      </c>
      <c r="AI65" s="73" t="s">
        <v>6</v>
      </c>
      <c r="AJ65" s="61">
        <f>IF(AN65=0,L65,0)</f>
        <v>0</v>
      </c>
      <c r="AK65" s="61">
        <f>IF(AN65=15,L65,0)</f>
        <v>0</v>
      </c>
      <c r="AL65" s="61">
        <f>IF(AN65=21,L65,0)</f>
        <v>0</v>
      </c>
      <c r="AN65" s="12">
        <v>21</v>
      </c>
      <c r="AO65" s="12">
        <f>I65*0</f>
        <v>0</v>
      </c>
      <c r="AP65" s="12">
        <f>I65*(1-0)</f>
        <v>0</v>
      </c>
      <c r="AQ65" s="74" t="s">
        <v>120</v>
      </c>
      <c r="AV65" s="12">
        <f>AW65+AX65</f>
        <v>0</v>
      </c>
      <c r="AW65" s="12">
        <f>H65*AO65</f>
        <v>0</v>
      </c>
      <c r="AX65" s="12">
        <f>H65*AP65</f>
        <v>0</v>
      </c>
      <c r="AY65" s="75" t="s">
        <v>385</v>
      </c>
      <c r="AZ65" s="75" t="s">
        <v>397</v>
      </c>
      <c r="BA65" s="73" t="s">
        <v>408</v>
      </c>
      <c r="BC65" s="12">
        <f>AW65+AX65</f>
        <v>0</v>
      </c>
      <c r="BD65" s="12">
        <f>I65/(100-BE65)*100</f>
        <v>0</v>
      </c>
      <c r="BE65" s="12">
        <v>0</v>
      </c>
      <c r="BF65" s="12">
        <f>65</f>
        <v>65</v>
      </c>
      <c r="BH65" s="61">
        <f>H65*AO65</f>
        <v>0</v>
      </c>
      <c r="BI65" s="61">
        <f>H65*AP65</f>
        <v>0</v>
      </c>
      <c r="BJ65" s="61">
        <f>H65*I65</f>
        <v>0</v>
      </c>
      <c r="BK65" s="61" t="s">
        <v>414</v>
      </c>
      <c r="BL65" s="12">
        <v>771</v>
      </c>
    </row>
    <row r="66" spans="1:47" ht="12.75">
      <c r="A66" s="45"/>
      <c r="B66" s="52" t="s">
        <v>18</v>
      </c>
      <c r="C66" s="160" t="s">
        <v>34</v>
      </c>
      <c r="D66" s="161"/>
      <c r="E66" s="161"/>
      <c r="F66" s="161"/>
      <c r="G66" s="58" t="s">
        <v>44</v>
      </c>
      <c r="H66" s="58" t="s">
        <v>44</v>
      </c>
      <c r="I66" s="58" t="s">
        <v>44</v>
      </c>
      <c r="J66" s="78">
        <f>SUM(J67:J69)</f>
        <v>0</v>
      </c>
      <c r="K66" s="78">
        <f>SUM(K67:K69)</f>
        <v>0</v>
      </c>
      <c r="L66" s="78">
        <f>SUM(L67:L69)</f>
        <v>0</v>
      </c>
      <c r="M66" s="70"/>
      <c r="N66" s="11"/>
      <c r="AI66" s="73" t="s">
        <v>6</v>
      </c>
      <c r="AS66" s="78">
        <f>SUM(AJ67:AJ69)</f>
        <v>0</v>
      </c>
      <c r="AT66" s="78">
        <f>SUM(AK67:AK69)</f>
        <v>0</v>
      </c>
      <c r="AU66" s="78">
        <f>SUM(AL67:AL69)</f>
        <v>0</v>
      </c>
    </row>
    <row r="67" spans="1:64" ht="12.75">
      <c r="A67" s="46" t="s">
        <v>10</v>
      </c>
      <c r="B67" s="53" t="s">
        <v>255</v>
      </c>
      <c r="C67" s="162" t="s">
        <v>321</v>
      </c>
      <c r="D67" s="163"/>
      <c r="E67" s="163"/>
      <c r="F67" s="163"/>
      <c r="G67" s="53" t="s">
        <v>349</v>
      </c>
      <c r="H67" s="61">
        <v>220.645</v>
      </c>
      <c r="I67" s="61">
        <v>0</v>
      </c>
      <c r="J67" s="61">
        <f>H67*AO67</f>
        <v>0</v>
      </c>
      <c r="K67" s="61">
        <f>H67*AP67</f>
        <v>0</v>
      </c>
      <c r="L67" s="61">
        <f>H67*I67</f>
        <v>0</v>
      </c>
      <c r="M67" s="71" t="s">
        <v>367</v>
      </c>
      <c r="N67" s="11"/>
      <c r="Z67" s="12">
        <f>IF(AQ67="5",BJ67,0)</f>
        <v>0</v>
      </c>
      <c r="AB67" s="12">
        <f>IF(AQ67="1",BH67,0)</f>
        <v>0</v>
      </c>
      <c r="AC67" s="12">
        <f>IF(AQ67="1",BI67,0)</f>
        <v>0</v>
      </c>
      <c r="AD67" s="12">
        <f>IF(AQ67="7",BH67,0)</f>
        <v>0</v>
      </c>
      <c r="AE67" s="12">
        <f>IF(AQ67="7",BI67,0)</f>
        <v>0</v>
      </c>
      <c r="AF67" s="12">
        <f>IF(AQ67="2",BH67,0)</f>
        <v>0</v>
      </c>
      <c r="AG67" s="12">
        <f>IF(AQ67="2",BI67,0)</f>
        <v>0</v>
      </c>
      <c r="AH67" s="12">
        <f>IF(AQ67="0",BJ67,0)</f>
        <v>0</v>
      </c>
      <c r="AI67" s="73" t="s">
        <v>6</v>
      </c>
      <c r="AJ67" s="61">
        <f>IF(AN67=0,L67,0)</f>
        <v>0</v>
      </c>
      <c r="AK67" s="61">
        <f>IF(AN67=15,L67,0)</f>
        <v>0</v>
      </c>
      <c r="AL67" s="61">
        <f>IF(AN67=21,L67,0)</f>
        <v>0</v>
      </c>
      <c r="AN67" s="12">
        <v>21</v>
      </c>
      <c r="AO67" s="12">
        <f>I67*0.153533149455812</f>
        <v>0</v>
      </c>
      <c r="AP67" s="12">
        <f>I67*(1-0.153533149455812)</f>
        <v>0</v>
      </c>
      <c r="AQ67" s="74" t="s">
        <v>125</v>
      </c>
      <c r="AV67" s="12">
        <f>AW67+AX67</f>
        <v>0</v>
      </c>
      <c r="AW67" s="12">
        <f>H67*AO67</f>
        <v>0</v>
      </c>
      <c r="AX67" s="12">
        <f>H67*AP67</f>
        <v>0</v>
      </c>
      <c r="AY67" s="75" t="s">
        <v>386</v>
      </c>
      <c r="AZ67" s="75" t="s">
        <v>398</v>
      </c>
      <c r="BA67" s="73" t="s">
        <v>408</v>
      </c>
      <c r="BC67" s="12">
        <f>AW67+AX67</f>
        <v>0</v>
      </c>
      <c r="BD67" s="12">
        <f>I67/(100-BE67)*100</f>
        <v>0</v>
      </c>
      <c r="BE67" s="12">
        <v>0</v>
      </c>
      <c r="BF67" s="12">
        <f>67</f>
        <v>67</v>
      </c>
      <c r="BH67" s="61">
        <f>H67*AO67</f>
        <v>0</v>
      </c>
      <c r="BI67" s="61">
        <f>H67*AP67</f>
        <v>0</v>
      </c>
      <c r="BJ67" s="61">
        <f>H67*I67</f>
        <v>0</v>
      </c>
      <c r="BK67" s="61" t="s">
        <v>414</v>
      </c>
      <c r="BL67" s="12">
        <v>784</v>
      </c>
    </row>
    <row r="68" spans="1:14" ht="12.75">
      <c r="A68" s="11"/>
      <c r="B68" s="54" t="s">
        <v>227</v>
      </c>
      <c r="C68" s="164" t="s">
        <v>322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6"/>
      <c r="N68" s="11"/>
    </row>
    <row r="69" spans="1:64" ht="12.75">
      <c r="A69" s="46" t="s">
        <v>151</v>
      </c>
      <c r="B69" s="53" t="s">
        <v>256</v>
      </c>
      <c r="C69" s="162" t="s">
        <v>323</v>
      </c>
      <c r="D69" s="163"/>
      <c r="E69" s="163"/>
      <c r="F69" s="163"/>
      <c r="G69" s="53" t="s">
        <v>349</v>
      </c>
      <c r="H69" s="61">
        <v>220.645</v>
      </c>
      <c r="I69" s="61">
        <v>0</v>
      </c>
      <c r="J69" s="61">
        <f>H69*AO69</f>
        <v>0</v>
      </c>
      <c r="K69" s="61">
        <f>H69*AP69</f>
        <v>0</v>
      </c>
      <c r="L69" s="61">
        <f>H69*I69</f>
        <v>0</v>
      </c>
      <c r="M69" s="71" t="s">
        <v>367</v>
      </c>
      <c r="N69" s="11"/>
      <c r="Z69" s="12">
        <f>IF(AQ69="5",BJ69,0)</f>
        <v>0</v>
      </c>
      <c r="AB69" s="12">
        <f>IF(AQ69="1",BH69,0)</f>
        <v>0</v>
      </c>
      <c r="AC69" s="12">
        <f>IF(AQ69="1",BI69,0)</f>
        <v>0</v>
      </c>
      <c r="AD69" s="12">
        <f>IF(AQ69="7",BH69,0)</f>
        <v>0</v>
      </c>
      <c r="AE69" s="12">
        <f>IF(AQ69="7",BI69,0)</f>
        <v>0</v>
      </c>
      <c r="AF69" s="12">
        <f>IF(AQ69="2",BH69,0)</f>
        <v>0</v>
      </c>
      <c r="AG69" s="12">
        <f>IF(AQ69="2",BI69,0)</f>
        <v>0</v>
      </c>
      <c r="AH69" s="12">
        <f>IF(AQ69="0",BJ69,0)</f>
        <v>0</v>
      </c>
      <c r="AI69" s="73" t="s">
        <v>6</v>
      </c>
      <c r="AJ69" s="61">
        <f>IF(AN69=0,L69,0)</f>
        <v>0</v>
      </c>
      <c r="AK69" s="61">
        <f>IF(AN69=15,L69,0)</f>
        <v>0</v>
      </c>
      <c r="AL69" s="61">
        <f>IF(AN69=21,L69,0)</f>
        <v>0</v>
      </c>
      <c r="AN69" s="12">
        <v>21</v>
      </c>
      <c r="AO69" s="12">
        <f>I69*0.169267014973363</f>
        <v>0</v>
      </c>
      <c r="AP69" s="12">
        <f>I69*(1-0.169267014973363)</f>
        <v>0</v>
      </c>
      <c r="AQ69" s="74" t="s">
        <v>125</v>
      </c>
      <c r="AV69" s="12">
        <f>AW69+AX69</f>
        <v>0</v>
      </c>
      <c r="AW69" s="12">
        <f>H69*AO69</f>
        <v>0</v>
      </c>
      <c r="AX69" s="12">
        <f>H69*AP69</f>
        <v>0</v>
      </c>
      <c r="AY69" s="75" t="s">
        <v>386</v>
      </c>
      <c r="AZ69" s="75" t="s">
        <v>398</v>
      </c>
      <c r="BA69" s="73" t="s">
        <v>408</v>
      </c>
      <c r="BC69" s="12">
        <f>AW69+AX69</f>
        <v>0</v>
      </c>
      <c r="BD69" s="12">
        <f>I69/(100-BE69)*100</f>
        <v>0</v>
      </c>
      <c r="BE69" s="12">
        <v>0</v>
      </c>
      <c r="BF69" s="12">
        <f>69</f>
        <v>69</v>
      </c>
      <c r="BH69" s="61">
        <f>H69*AO69</f>
        <v>0</v>
      </c>
      <c r="BI69" s="61">
        <f>H69*AP69</f>
        <v>0</v>
      </c>
      <c r="BJ69" s="61">
        <f>H69*I69</f>
        <v>0</v>
      </c>
      <c r="BK69" s="61" t="s">
        <v>414</v>
      </c>
      <c r="BL69" s="12">
        <v>784</v>
      </c>
    </row>
    <row r="70" spans="1:47" ht="12.75">
      <c r="A70" s="45"/>
      <c r="B70" s="52" t="s">
        <v>19</v>
      </c>
      <c r="C70" s="160" t="s">
        <v>35</v>
      </c>
      <c r="D70" s="161"/>
      <c r="E70" s="161"/>
      <c r="F70" s="161"/>
      <c r="G70" s="58" t="s">
        <v>44</v>
      </c>
      <c r="H70" s="58" t="s">
        <v>44</v>
      </c>
      <c r="I70" s="58" t="s">
        <v>44</v>
      </c>
      <c r="J70" s="78">
        <f>SUM(J71:J71)</f>
        <v>0</v>
      </c>
      <c r="K70" s="78">
        <f>SUM(K71:K71)</f>
        <v>0</v>
      </c>
      <c r="L70" s="78">
        <f>SUM(L71:L71)</f>
        <v>0</v>
      </c>
      <c r="M70" s="70"/>
      <c r="N70" s="11"/>
      <c r="AI70" s="73" t="s">
        <v>6</v>
      </c>
      <c r="AS70" s="78">
        <f>SUM(AJ71:AJ71)</f>
        <v>0</v>
      </c>
      <c r="AT70" s="78">
        <f>SUM(AK71:AK71)</f>
        <v>0</v>
      </c>
      <c r="AU70" s="78">
        <f>SUM(AL71:AL71)</f>
        <v>0</v>
      </c>
    </row>
    <row r="71" spans="1:64" ht="12.75">
      <c r="A71" s="46" t="s">
        <v>152</v>
      </c>
      <c r="B71" s="53" t="s">
        <v>257</v>
      </c>
      <c r="C71" s="162" t="s">
        <v>324</v>
      </c>
      <c r="D71" s="163"/>
      <c r="E71" s="163"/>
      <c r="F71" s="163"/>
      <c r="G71" s="53" t="s">
        <v>349</v>
      </c>
      <c r="H71" s="61">
        <v>81.08</v>
      </c>
      <c r="I71" s="61">
        <v>0</v>
      </c>
      <c r="J71" s="61">
        <f>H71*AO71</f>
        <v>0</v>
      </c>
      <c r="K71" s="61">
        <f>H71*AP71</f>
        <v>0</v>
      </c>
      <c r="L71" s="61">
        <f>H71*I71</f>
        <v>0</v>
      </c>
      <c r="M71" s="71" t="s">
        <v>367</v>
      </c>
      <c r="N71" s="11"/>
      <c r="Z71" s="12">
        <f>IF(AQ71="5",BJ71,0)</f>
        <v>0</v>
      </c>
      <c r="AB71" s="12">
        <f>IF(AQ71="1",BH71,0)</f>
        <v>0</v>
      </c>
      <c r="AC71" s="12">
        <f>IF(AQ71="1",BI71,0)</f>
        <v>0</v>
      </c>
      <c r="AD71" s="12">
        <f>IF(AQ71="7",BH71,0)</f>
        <v>0</v>
      </c>
      <c r="AE71" s="12">
        <f>IF(AQ71="7",BI71,0)</f>
        <v>0</v>
      </c>
      <c r="AF71" s="12">
        <f>IF(AQ71="2",BH71,0)</f>
        <v>0</v>
      </c>
      <c r="AG71" s="12">
        <f>IF(AQ71="2",BI71,0)</f>
        <v>0</v>
      </c>
      <c r="AH71" s="12">
        <f>IF(AQ71="0",BJ71,0)</f>
        <v>0</v>
      </c>
      <c r="AI71" s="73" t="s">
        <v>6</v>
      </c>
      <c r="AJ71" s="61">
        <f>IF(AN71=0,L71,0)</f>
        <v>0</v>
      </c>
      <c r="AK71" s="61">
        <f>IF(AN71=15,L71,0)</f>
        <v>0</v>
      </c>
      <c r="AL71" s="61">
        <f>IF(AN71=21,L71,0)</f>
        <v>0</v>
      </c>
      <c r="AN71" s="12">
        <v>21</v>
      </c>
      <c r="AO71" s="12">
        <f>I71*0.330537346655495</f>
        <v>0</v>
      </c>
      <c r="AP71" s="12">
        <f>I71*(1-0.330537346655495)</f>
        <v>0</v>
      </c>
      <c r="AQ71" s="74" t="s">
        <v>119</v>
      </c>
      <c r="AV71" s="12">
        <f>AW71+AX71</f>
        <v>0</v>
      </c>
      <c r="AW71" s="12">
        <f>H71*AO71</f>
        <v>0</v>
      </c>
      <c r="AX71" s="12">
        <f>H71*AP71</f>
        <v>0</v>
      </c>
      <c r="AY71" s="75" t="s">
        <v>387</v>
      </c>
      <c r="AZ71" s="75" t="s">
        <v>399</v>
      </c>
      <c r="BA71" s="73" t="s">
        <v>408</v>
      </c>
      <c r="BC71" s="12">
        <f>AW71+AX71</f>
        <v>0</v>
      </c>
      <c r="BD71" s="12">
        <f>I71/(100-BE71)*100</f>
        <v>0</v>
      </c>
      <c r="BE71" s="12">
        <v>0</v>
      </c>
      <c r="BF71" s="12">
        <f>71</f>
        <v>71</v>
      </c>
      <c r="BH71" s="61">
        <f>H71*AO71</f>
        <v>0</v>
      </c>
      <c r="BI71" s="61">
        <f>H71*AP71</f>
        <v>0</v>
      </c>
      <c r="BJ71" s="61">
        <f>H71*I71</f>
        <v>0</v>
      </c>
      <c r="BK71" s="61" t="s">
        <v>414</v>
      </c>
      <c r="BL71" s="12">
        <v>94</v>
      </c>
    </row>
    <row r="72" spans="1:47" ht="12.75">
      <c r="A72" s="45"/>
      <c r="B72" s="52" t="s">
        <v>20</v>
      </c>
      <c r="C72" s="160" t="s">
        <v>36</v>
      </c>
      <c r="D72" s="161"/>
      <c r="E72" s="161"/>
      <c r="F72" s="161"/>
      <c r="G72" s="58" t="s">
        <v>44</v>
      </c>
      <c r="H72" s="58" t="s">
        <v>44</v>
      </c>
      <c r="I72" s="58" t="s">
        <v>44</v>
      </c>
      <c r="J72" s="78">
        <f>SUM(J73:J87)</f>
        <v>0</v>
      </c>
      <c r="K72" s="78">
        <f>SUM(K73:K87)</f>
        <v>0</v>
      </c>
      <c r="L72" s="78">
        <f>SUM(L73:L87)</f>
        <v>0</v>
      </c>
      <c r="M72" s="70"/>
      <c r="N72" s="11"/>
      <c r="AI72" s="73" t="s">
        <v>6</v>
      </c>
      <c r="AS72" s="78">
        <f>SUM(AJ73:AJ87)</f>
        <v>0</v>
      </c>
      <c r="AT72" s="78">
        <f>SUM(AK73:AK87)</f>
        <v>0</v>
      </c>
      <c r="AU72" s="78">
        <f>SUM(AL73:AL87)</f>
        <v>0</v>
      </c>
    </row>
    <row r="73" spans="1:64" ht="12.75">
      <c r="A73" s="46" t="s">
        <v>153</v>
      </c>
      <c r="B73" s="53" t="s">
        <v>258</v>
      </c>
      <c r="C73" s="162" t="s">
        <v>325</v>
      </c>
      <c r="D73" s="163"/>
      <c r="E73" s="163"/>
      <c r="F73" s="163"/>
      <c r="G73" s="53" t="s">
        <v>350</v>
      </c>
      <c r="H73" s="61">
        <v>6</v>
      </c>
      <c r="I73" s="61">
        <v>0</v>
      </c>
      <c r="J73" s="61">
        <f aca="true" t="shared" si="22" ref="J73:J79">H73*AO73</f>
        <v>0</v>
      </c>
      <c r="K73" s="61">
        <f aca="true" t="shared" si="23" ref="K73:K79">H73*AP73</f>
        <v>0</v>
      </c>
      <c r="L73" s="61">
        <f aca="true" t="shared" si="24" ref="L73:L79">H73*I73</f>
        <v>0</v>
      </c>
      <c r="M73" s="71" t="s">
        <v>367</v>
      </c>
      <c r="N73" s="11"/>
      <c r="Z73" s="12">
        <f aca="true" t="shared" si="25" ref="Z73:Z79">IF(AQ73="5",BJ73,0)</f>
        <v>0</v>
      </c>
      <c r="AB73" s="12">
        <f aca="true" t="shared" si="26" ref="AB73:AB79">IF(AQ73="1",BH73,0)</f>
        <v>0</v>
      </c>
      <c r="AC73" s="12">
        <f aca="true" t="shared" si="27" ref="AC73:AC79">IF(AQ73="1",BI73,0)</f>
        <v>0</v>
      </c>
      <c r="AD73" s="12">
        <f aca="true" t="shared" si="28" ref="AD73:AD79">IF(AQ73="7",BH73,0)</f>
        <v>0</v>
      </c>
      <c r="AE73" s="12">
        <f aca="true" t="shared" si="29" ref="AE73:AE79">IF(AQ73="7",BI73,0)</f>
        <v>0</v>
      </c>
      <c r="AF73" s="12">
        <f aca="true" t="shared" si="30" ref="AF73:AF79">IF(AQ73="2",BH73,0)</f>
        <v>0</v>
      </c>
      <c r="AG73" s="12">
        <f aca="true" t="shared" si="31" ref="AG73:AG79">IF(AQ73="2",BI73,0)</f>
        <v>0</v>
      </c>
      <c r="AH73" s="12">
        <f aca="true" t="shared" si="32" ref="AH73:AH79">IF(AQ73="0",BJ73,0)</f>
        <v>0</v>
      </c>
      <c r="AI73" s="73" t="s">
        <v>6</v>
      </c>
      <c r="AJ73" s="61">
        <f aca="true" t="shared" si="33" ref="AJ73:AJ79">IF(AN73=0,L73,0)</f>
        <v>0</v>
      </c>
      <c r="AK73" s="61">
        <f aca="true" t="shared" si="34" ref="AK73:AK79">IF(AN73=15,L73,0)</f>
        <v>0</v>
      </c>
      <c r="AL73" s="61">
        <f aca="true" t="shared" si="35" ref="AL73:AL79">IF(AN73=21,L73,0)</f>
        <v>0</v>
      </c>
      <c r="AN73" s="12">
        <v>21</v>
      </c>
      <c r="AO73" s="12">
        <f>I73*0.0586312641183226</f>
        <v>0</v>
      </c>
      <c r="AP73" s="12">
        <f>I73*(1-0.0586312641183226)</f>
        <v>0</v>
      </c>
      <c r="AQ73" s="74" t="s">
        <v>119</v>
      </c>
      <c r="AV73" s="12">
        <f aca="true" t="shared" si="36" ref="AV73:AV79">AW73+AX73</f>
        <v>0</v>
      </c>
      <c r="AW73" s="12">
        <f aca="true" t="shared" si="37" ref="AW73:AW79">H73*AO73</f>
        <v>0</v>
      </c>
      <c r="AX73" s="12">
        <f aca="true" t="shared" si="38" ref="AX73:AX79">H73*AP73</f>
        <v>0</v>
      </c>
      <c r="AY73" s="75" t="s">
        <v>388</v>
      </c>
      <c r="AZ73" s="75" t="s">
        <v>399</v>
      </c>
      <c r="BA73" s="73" t="s">
        <v>408</v>
      </c>
      <c r="BC73" s="12">
        <f aca="true" t="shared" si="39" ref="BC73:BC79">AW73+AX73</f>
        <v>0</v>
      </c>
      <c r="BD73" s="12">
        <f aca="true" t="shared" si="40" ref="BD73:BD79">I73/(100-BE73)*100</f>
        <v>0</v>
      </c>
      <c r="BE73" s="12">
        <v>0</v>
      </c>
      <c r="BF73" s="12">
        <f>73</f>
        <v>73</v>
      </c>
      <c r="BH73" s="61">
        <f aca="true" t="shared" si="41" ref="BH73:BH79">H73*AO73</f>
        <v>0</v>
      </c>
      <c r="BI73" s="61">
        <f aca="true" t="shared" si="42" ref="BI73:BI79">H73*AP73</f>
        <v>0</v>
      </c>
      <c r="BJ73" s="61">
        <f aca="true" t="shared" si="43" ref="BJ73:BJ79">H73*I73</f>
        <v>0</v>
      </c>
      <c r="BK73" s="61" t="s">
        <v>414</v>
      </c>
      <c r="BL73" s="12">
        <v>96</v>
      </c>
    </row>
    <row r="74" spans="1:64" ht="12.75">
      <c r="A74" s="46" t="s">
        <v>154</v>
      </c>
      <c r="B74" s="53" t="s">
        <v>259</v>
      </c>
      <c r="C74" s="162" t="s">
        <v>326</v>
      </c>
      <c r="D74" s="163"/>
      <c r="E74" s="163"/>
      <c r="F74" s="163"/>
      <c r="G74" s="53" t="s">
        <v>349</v>
      </c>
      <c r="H74" s="61">
        <v>162.465</v>
      </c>
      <c r="I74" s="61">
        <v>0</v>
      </c>
      <c r="J74" s="61">
        <f t="shared" si="22"/>
        <v>0</v>
      </c>
      <c r="K74" s="61">
        <f t="shared" si="23"/>
        <v>0</v>
      </c>
      <c r="L74" s="61">
        <f t="shared" si="24"/>
        <v>0</v>
      </c>
      <c r="M74" s="71" t="s">
        <v>367</v>
      </c>
      <c r="N74" s="11"/>
      <c r="Z74" s="12">
        <f t="shared" si="25"/>
        <v>0</v>
      </c>
      <c r="AB74" s="12">
        <f t="shared" si="26"/>
        <v>0</v>
      </c>
      <c r="AC74" s="12">
        <f t="shared" si="27"/>
        <v>0</v>
      </c>
      <c r="AD74" s="12">
        <f t="shared" si="28"/>
        <v>0</v>
      </c>
      <c r="AE74" s="12">
        <f t="shared" si="29"/>
        <v>0</v>
      </c>
      <c r="AF74" s="12">
        <f t="shared" si="30"/>
        <v>0</v>
      </c>
      <c r="AG74" s="12">
        <f t="shared" si="31"/>
        <v>0</v>
      </c>
      <c r="AH74" s="12">
        <f t="shared" si="32"/>
        <v>0</v>
      </c>
      <c r="AI74" s="73" t="s">
        <v>6</v>
      </c>
      <c r="AJ74" s="61">
        <f t="shared" si="33"/>
        <v>0</v>
      </c>
      <c r="AK74" s="61">
        <f t="shared" si="34"/>
        <v>0</v>
      </c>
      <c r="AL74" s="61">
        <f t="shared" si="35"/>
        <v>0</v>
      </c>
      <c r="AN74" s="12">
        <v>21</v>
      </c>
      <c r="AO74" s="12">
        <f>I74*0.00585729057928383</f>
        <v>0</v>
      </c>
      <c r="AP74" s="12">
        <f>I74*(1-0.00585729057928383)</f>
        <v>0</v>
      </c>
      <c r="AQ74" s="74" t="s">
        <v>119</v>
      </c>
      <c r="AV74" s="12">
        <f t="shared" si="36"/>
        <v>0</v>
      </c>
      <c r="AW74" s="12">
        <f t="shared" si="37"/>
        <v>0</v>
      </c>
      <c r="AX74" s="12">
        <f t="shared" si="38"/>
        <v>0</v>
      </c>
      <c r="AY74" s="75" t="s">
        <v>388</v>
      </c>
      <c r="AZ74" s="75" t="s">
        <v>399</v>
      </c>
      <c r="BA74" s="73" t="s">
        <v>408</v>
      </c>
      <c r="BC74" s="12">
        <f t="shared" si="39"/>
        <v>0</v>
      </c>
      <c r="BD74" s="12">
        <f t="shared" si="40"/>
        <v>0</v>
      </c>
      <c r="BE74" s="12">
        <v>0</v>
      </c>
      <c r="BF74" s="12">
        <f>74</f>
        <v>74</v>
      </c>
      <c r="BH74" s="61">
        <f t="shared" si="41"/>
        <v>0</v>
      </c>
      <c r="BI74" s="61">
        <f t="shared" si="42"/>
        <v>0</v>
      </c>
      <c r="BJ74" s="61">
        <f t="shared" si="43"/>
        <v>0</v>
      </c>
      <c r="BK74" s="61" t="s">
        <v>414</v>
      </c>
      <c r="BL74" s="12">
        <v>96</v>
      </c>
    </row>
    <row r="75" spans="1:64" ht="12.75">
      <c r="A75" s="46" t="s">
        <v>155</v>
      </c>
      <c r="B75" s="53" t="s">
        <v>260</v>
      </c>
      <c r="C75" s="162" t="s">
        <v>327</v>
      </c>
      <c r="D75" s="163"/>
      <c r="E75" s="163"/>
      <c r="F75" s="163"/>
      <c r="G75" s="53" t="s">
        <v>351</v>
      </c>
      <c r="H75" s="61">
        <v>0.60275</v>
      </c>
      <c r="I75" s="61">
        <v>0</v>
      </c>
      <c r="J75" s="61">
        <f t="shared" si="22"/>
        <v>0</v>
      </c>
      <c r="K75" s="61">
        <f t="shared" si="23"/>
        <v>0</v>
      </c>
      <c r="L75" s="61">
        <f t="shared" si="24"/>
        <v>0</v>
      </c>
      <c r="M75" s="71" t="s">
        <v>367</v>
      </c>
      <c r="N75" s="11"/>
      <c r="Z75" s="12">
        <f t="shared" si="25"/>
        <v>0</v>
      </c>
      <c r="AB75" s="12">
        <f t="shared" si="26"/>
        <v>0</v>
      </c>
      <c r="AC75" s="12">
        <f t="shared" si="27"/>
        <v>0</v>
      </c>
      <c r="AD75" s="12">
        <f t="shared" si="28"/>
        <v>0</v>
      </c>
      <c r="AE75" s="12">
        <f t="shared" si="29"/>
        <v>0</v>
      </c>
      <c r="AF75" s="12">
        <f t="shared" si="30"/>
        <v>0</v>
      </c>
      <c r="AG75" s="12">
        <f t="shared" si="31"/>
        <v>0</v>
      </c>
      <c r="AH75" s="12">
        <f t="shared" si="32"/>
        <v>0</v>
      </c>
      <c r="AI75" s="73" t="s">
        <v>6</v>
      </c>
      <c r="AJ75" s="61">
        <f t="shared" si="33"/>
        <v>0</v>
      </c>
      <c r="AK75" s="61">
        <f t="shared" si="34"/>
        <v>0</v>
      </c>
      <c r="AL75" s="61">
        <f t="shared" si="35"/>
        <v>0</v>
      </c>
      <c r="AN75" s="12">
        <v>21</v>
      </c>
      <c r="AO75" s="12">
        <f>I75*0.0219746369165839</f>
        <v>0</v>
      </c>
      <c r="AP75" s="12">
        <f>I75*(1-0.0219746369165839)</f>
        <v>0</v>
      </c>
      <c r="AQ75" s="74" t="s">
        <v>119</v>
      </c>
      <c r="AV75" s="12">
        <f t="shared" si="36"/>
        <v>0</v>
      </c>
      <c r="AW75" s="12">
        <f t="shared" si="37"/>
        <v>0</v>
      </c>
      <c r="AX75" s="12">
        <f t="shared" si="38"/>
        <v>0</v>
      </c>
      <c r="AY75" s="75" t="s">
        <v>388</v>
      </c>
      <c r="AZ75" s="75" t="s">
        <v>399</v>
      </c>
      <c r="BA75" s="73" t="s">
        <v>408</v>
      </c>
      <c r="BC75" s="12">
        <f t="shared" si="39"/>
        <v>0</v>
      </c>
      <c r="BD75" s="12">
        <f t="shared" si="40"/>
        <v>0</v>
      </c>
      <c r="BE75" s="12">
        <v>0</v>
      </c>
      <c r="BF75" s="12">
        <f>75</f>
        <v>75</v>
      </c>
      <c r="BH75" s="61">
        <f t="shared" si="41"/>
        <v>0</v>
      </c>
      <c r="BI75" s="61">
        <f t="shared" si="42"/>
        <v>0</v>
      </c>
      <c r="BJ75" s="61">
        <f t="shared" si="43"/>
        <v>0</v>
      </c>
      <c r="BK75" s="61" t="s">
        <v>414</v>
      </c>
      <c r="BL75" s="12">
        <v>96</v>
      </c>
    </row>
    <row r="76" spans="1:64" ht="12.75">
      <c r="A76" s="46" t="s">
        <v>156</v>
      </c>
      <c r="B76" s="53" t="s">
        <v>261</v>
      </c>
      <c r="C76" s="162" t="s">
        <v>328</v>
      </c>
      <c r="D76" s="163"/>
      <c r="E76" s="163"/>
      <c r="F76" s="163"/>
      <c r="G76" s="53" t="s">
        <v>349</v>
      </c>
      <c r="H76" s="61">
        <v>3.4</v>
      </c>
      <c r="I76" s="61">
        <v>0</v>
      </c>
      <c r="J76" s="61">
        <f t="shared" si="22"/>
        <v>0</v>
      </c>
      <c r="K76" s="61">
        <f t="shared" si="23"/>
        <v>0</v>
      </c>
      <c r="L76" s="61">
        <f t="shared" si="24"/>
        <v>0</v>
      </c>
      <c r="M76" s="71" t="s">
        <v>367</v>
      </c>
      <c r="N76" s="11"/>
      <c r="Z76" s="12">
        <f t="shared" si="25"/>
        <v>0</v>
      </c>
      <c r="AB76" s="12">
        <f t="shared" si="26"/>
        <v>0</v>
      </c>
      <c r="AC76" s="12">
        <f t="shared" si="27"/>
        <v>0</v>
      </c>
      <c r="AD76" s="12">
        <f t="shared" si="28"/>
        <v>0</v>
      </c>
      <c r="AE76" s="12">
        <f t="shared" si="29"/>
        <v>0</v>
      </c>
      <c r="AF76" s="12">
        <f t="shared" si="30"/>
        <v>0</v>
      </c>
      <c r="AG76" s="12">
        <f t="shared" si="31"/>
        <v>0</v>
      </c>
      <c r="AH76" s="12">
        <f t="shared" si="32"/>
        <v>0</v>
      </c>
      <c r="AI76" s="73" t="s">
        <v>6</v>
      </c>
      <c r="AJ76" s="61">
        <f t="shared" si="33"/>
        <v>0</v>
      </c>
      <c r="AK76" s="61">
        <f t="shared" si="34"/>
        <v>0</v>
      </c>
      <c r="AL76" s="61">
        <f t="shared" si="35"/>
        <v>0</v>
      </c>
      <c r="AN76" s="12">
        <v>21</v>
      </c>
      <c r="AO76" s="12">
        <f>I76*0</f>
        <v>0</v>
      </c>
      <c r="AP76" s="12">
        <f>I76*(1-0)</f>
        <v>0</v>
      </c>
      <c r="AQ76" s="74" t="s">
        <v>119</v>
      </c>
      <c r="AV76" s="12">
        <f t="shared" si="36"/>
        <v>0</v>
      </c>
      <c r="AW76" s="12">
        <f t="shared" si="37"/>
        <v>0</v>
      </c>
      <c r="AX76" s="12">
        <f t="shared" si="38"/>
        <v>0</v>
      </c>
      <c r="AY76" s="75" t="s">
        <v>388</v>
      </c>
      <c r="AZ76" s="75" t="s">
        <v>399</v>
      </c>
      <c r="BA76" s="73" t="s">
        <v>408</v>
      </c>
      <c r="BC76" s="12">
        <f t="shared" si="39"/>
        <v>0</v>
      </c>
      <c r="BD76" s="12">
        <f t="shared" si="40"/>
        <v>0</v>
      </c>
      <c r="BE76" s="12">
        <v>0</v>
      </c>
      <c r="BF76" s="12">
        <f>76</f>
        <v>76</v>
      </c>
      <c r="BH76" s="61">
        <f t="shared" si="41"/>
        <v>0</v>
      </c>
      <c r="BI76" s="61">
        <f t="shared" si="42"/>
        <v>0</v>
      </c>
      <c r="BJ76" s="61">
        <f t="shared" si="43"/>
        <v>0</v>
      </c>
      <c r="BK76" s="61" t="s">
        <v>414</v>
      </c>
      <c r="BL76" s="12">
        <v>96</v>
      </c>
    </row>
    <row r="77" spans="1:64" ht="12.75">
      <c r="A77" s="46" t="s">
        <v>157</v>
      </c>
      <c r="B77" s="53" t="s">
        <v>262</v>
      </c>
      <c r="C77" s="162" t="s">
        <v>329</v>
      </c>
      <c r="D77" s="163"/>
      <c r="E77" s="163"/>
      <c r="F77" s="163"/>
      <c r="G77" s="53" t="s">
        <v>349</v>
      </c>
      <c r="H77" s="61">
        <v>2.85</v>
      </c>
      <c r="I77" s="61">
        <v>0</v>
      </c>
      <c r="J77" s="61">
        <f t="shared" si="22"/>
        <v>0</v>
      </c>
      <c r="K77" s="61">
        <f t="shared" si="23"/>
        <v>0</v>
      </c>
      <c r="L77" s="61">
        <f t="shared" si="24"/>
        <v>0</v>
      </c>
      <c r="M77" s="71" t="s">
        <v>367</v>
      </c>
      <c r="N77" s="11"/>
      <c r="Z77" s="12">
        <f t="shared" si="25"/>
        <v>0</v>
      </c>
      <c r="AB77" s="12">
        <f t="shared" si="26"/>
        <v>0</v>
      </c>
      <c r="AC77" s="12">
        <f t="shared" si="27"/>
        <v>0</v>
      </c>
      <c r="AD77" s="12">
        <f t="shared" si="28"/>
        <v>0</v>
      </c>
      <c r="AE77" s="12">
        <f t="shared" si="29"/>
        <v>0</v>
      </c>
      <c r="AF77" s="12">
        <f t="shared" si="30"/>
        <v>0</v>
      </c>
      <c r="AG77" s="12">
        <f t="shared" si="31"/>
        <v>0</v>
      </c>
      <c r="AH77" s="12">
        <f t="shared" si="32"/>
        <v>0</v>
      </c>
      <c r="AI77" s="73" t="s">
        <v>6</v>
      </c>
      <c r="AJ77" s="61">
        <f t="shared" si="33"/>
        <v>0</v>
      </c>
      <c r="AK77" s="61">
        <f t="shared" si="34"/>
        <v>0</v>
      </c>
      <c r="AL77" s="61">
        <f t="shared" si="35"/>
        <v>0</v>
      </c>
      <c r="AN77" s="12">
        <v>21</v>
      </c>
      <c r="AO77" s="12">
        <f>I77*0</f>
        <v>0</v>
      </c>
      <c r="AP77" s="12">
        <f>I77*(1-0)</f>
        <v>0</v>
      </c>
      <c r="AQ77" s="74" t="s">
        <v>119</v>
      </c>
      <c r="AV77" s="12">
        <f t="shared" si="36"/>
        <v>0</v>
      </c>
      <c r="AW77" s="12">
        <f t="shared" si="37"/>
        <v>0</v>
      </c>
      <c r="AX77" s="12">
        <f t="shared" si="38"/>
        <v>0</v>
      </c>
      <c r="AY77" s="75" t="s">
        <v>388</v>
      </c>
      <c r="AZ77" s="75" t="s">
        <v>399</v>
      </c>
      <c r="BA77" s="73" t="s">
        <v>408</v>
      </c>
      <c r="BC77" s="12">
        <f t="shared" si="39"/>
        <v>0</v>
      </c>
      <c r="BD77" s="12">
        <f t="shared" si="40"/>
        <v>0</v>
      </c>
      <c r="BE77" s="12">
        <v>0</v>
      </c>
      <c r="BF77" s="12">
        <f>77</f>
        <v>77</v>
      </c>
      <c r="BH77" s="61">
        <f t="shared" si="41"/>
        <v>0</v>
      </c>
      <c r="BI77" s="61">
        <f t="shared" si="42"/>
        <v>0</v>
      </c>
      <c r="BJ77" s="61">
        <f t="shared" si="43"/>
        <v>0</v>
      </c>
      <c r="BK77" s="61" t="s">
        <v>414</v>
      </c>
      <c r="BL77" s="12">
        <v>96</v>
      </c>
    </row>
    <row r="78" spans="1:64" ht="12.75">
      <c r="A78" s="46" t="s">
        <v>158</v>
      </c>
      <c r="B78" s="53" t="s">
        <v>263</v>
      </c>
      <c r="C78" s="162" t="s">
        <v>330</v>
      </c>
      <c r="D78" s="163"/>
      <c r="E78" s="163"/>
      <c r="F78" s="163"/>
      <c r="G78" s="53" t="s">
        <v>349</v>
      </c>
      <c r="H78" s="61">
        <v>0.9</v>
      </c>
      <c r="I78" s="61">
        <v>0</v>
      </c>
      <c r="J78" s="61">
        <f t="shared" si="22"/>
        <v>0</v>
      </c>
      <c r="K78" s="61">
        <f t="shared" si="23"/>
        <v>0</v>
      </c>
      <c r="L78" s="61">
        <f t="shared" si="24"/>
        <v>0</v>
      </c>
      <c r="M78" s="71" t="s">
        <v>367</v>
      </c>
      <c r="N78" s="11"/>
      <c r="Z78" s="12">
        <f t="shared" si="25"/>
        <v>0</v>
      </c>
      <c r="AB78" s="12">
        <f t="shared" si="26"/>
        <v>0</v>
      </c>
      <c r="AC78" s="12">
        <f t="shared" si="27"/>
        <v>0</v>
      </c>
      <c r="AD78" s="12">
        <f t="shared" si="28"/>
        <v>0</v>
      </c>
      <c r="AE78" s="12">
        <f t="shared" si="29"/>
        <v>0</v>
      </c>
      <c r="AF78" s="12">
        <f t="shared" si="30"/>
        <v>0</v>
      </c>
      <c r="AG78" s="12">
        <f t="shared" si="31"/>
        <v>0</v>
      </c>
      <c r="AH78" s="12">
        <f t="shared" si="32"/>
        <v>0</v>
      </c>
      <c r="AI78" s="73" t="s">
        <v>6</v>
      </c>
      <c r="AJ78" s="61">
        <f t="shared" si="33"/>
        <v>0</v>
      </c>
      <c r="AK78" s="61">
        <f t="shared" si="34"/>
        <v>0</v>
      </c>
      <c r="AL78" s="61">
        <f t="shared" si="35"/>
        <v>0</v>
      </c>
      <c r="AN78" s="12">
        <v>21</v>
      </c>
      <c r="AO78" s="12">
        <f>I78*0.0398740818467996</f>
        <v>0</v>
      </c>
      <c r="AP78" s="12">
        <f>I78*(1-0.0398740818467996)</f>
        <v>0</v>
      </c>
      <c r="AQ78" s="74" t="s">
        <v>119</v>
      </c>
      <c r="AV78" s="12">
        <f t="shared" si="36"/>
        <v>0</v>
      </c>
      <c r="AW78" s="12">
        <f t="shared" si="37"/>
        <v>0</v>
      </c>
      <c r="AX78" s="12">
        <f t="shared" si="38"/>
        <v>0</v>
      </c>
      <c r="AY78" s="75" t="s">
        <v>388</v>
      </c>
      <c r="AZ78" s="75" t="s">
        <v>399</v>
      </c>
      <c r="BA78" s="73" t="s">
        <v>408</v>
      </c>
      <c r="BC78" s="12">
        <f t="shared" si="39"/>
        <v>0</v>
      </c>
      <c r="BD78" s="12">
        <f t="shared" si="40"/>
        <v>0</v>
      </c>
      <c r="BE78" s="12">
        <v>0</v>
      </c>
      <c r="BF78" s="12">
        <f>78</f>
        <v>78</v>
      </c>
      <c r="BH78" s="61">
        <f t="shared" si="41"/>
        <v>0</v>
      </c>
      <c r="BI78" s="61">
        <f t="shared" si="42"/>
        <v>0</v>
      </c>
      <c r="BJ78" s="61">
        <f t="shared" si="43"/>
        <v>0</v>
      </c>
      <c r="BK78" s="61" t="s">
        <v>414</v>
      </c>
      <c r="BL78" s="12">
        <v>96</v>
      </c>
    </row>
    <row r="79" spans="1:64" ht="12.75">
      <c r="A79" s="46" t="s">
        <v>159</v>
      </c>
      <c r="B79" s="53" t="s">
        <v>264</v>
      </c>
      <c r="C79" s="162" t="s">
        <v>331</v>
      </c>
      <c r="D79" s="163"/>
      <c r="E79" s="163"/>
      <c r="F79" s="163"/>
      <c r="G79" s="53" t="s">
        <v>349</v>
      </c>
      <c r="H79" s="61">
        <v>9.74</v>
      </c>
      <c r="I79" s="61">
        <v>0</v>
      </c>
      <c r="J79" s="61">
        <f t="shared" si="22"/>
        <v>0</v>
      </c>
      <c r="K79" s="61">
        <f t="shared" si="23"/>
        <v>0</v>
      </c>
      <c r="L79" s="61">
        <f t="shared" si="24"/>
        <v>0</v>
      </c>
      <c r="M79" s="71" t="s">
        <v>367</v>
      </c>
      <c r="N79" s="11"/>
      <c r="Z79" s="12">
        <f t="shared" si="25"/>
        <v>0</v>
      </c>
      <c r="AB79" s="12">
        <f t="shared" si="26"/>
        <v>0</v>
      </c>
      <c r="AC79" s="12">
        <f t="shared" si="27"/>
        <v>0</v>
      </c>
      <c r="AD79" s="12">
        <f t="shared" si="28"/>
        <v>0</v>
      </c>
      <c r="AE79" s="12">
        <f t="shared" si="29"/>
        <v>0</v>
      </c>
      <c r="AF79" s="12">
        <f t="shared" si="30"/>
        <v>0</v>
      </c>
      <c r="AG79" s="12">
        <f t="shared" si="31"/>
        <v>0</v>
      </c>
      <c r="AH79" s="12">
        <f t="shared" si="32"/>
        <v>0</v>
      </c>
      <c r="AI79" s="73" t="s">
        <v>6</v>
      </c>
      <c r="AJ79" s="61">
        <f t="shared" si="33"/>
        <v>0</v>
      </c>
      <c r="AK79" s="61">
        <f t="shared" si="34"/>
        <v>0</v>
      </c>
      <c r="AL79" s="61">
        <f t="shared" si="35"/>
        <v>0</v>
      </c>
      <c r="AN79" s="12">
        <v>21</v>
      </c>
      <c r="AO79" s="12">
        <f>I79*0.0625697638259219</f>
        <v>0</v>
      </c>
      <c r="AP79" s="12">
        <f>I79*(1-0.0625697638259219)</f>
        <v>0</v>
      </c>
      <c r="AQ79" s="74" t="s">
        <v>119</v>
      </c>
      <c r="AV79" s="12">
        <f t="shared" si="36"/>
        <v>0</v>
      </c>
      <c r="AW79" s="12">
        <f t="shared" si="37"/>
        <v>0</v>
      </c>
      <c r="AX79" s="12">
        <f t="shared" si="38"/>
        <v>0</v>
      </c>
      <c r="AY79" s="75" t="s">
        <v>388</v>
      </c>
      <c r="AZ79" s="75" t="s">
        <v>399</v>
      </c>
      <c r="BA79" s="73" t="s">
        <v>408</v>
      </c>
      <c r="BC79" s="12">
        <f t="shared" si="39"/>
        <v>0</v>
      </c>
      <c r="BD79" s="12">
        <f t="shared" si="40"/>
        <v>0</v>
      </c>
      <c r="BE79" s="12">
        <v>0</v>
      </c>
      <c r="BF79" s="12">
        <f>79</f>
        <v>79</v>
      </c>
      <c r="BH79" s="61">
        <f t="shared" si="41"/>
        <v>0</v>
      </c>
      <c r="BI79" s="61">
        <f t="shared" si="42"/>
        <v>0</v>
      </c>
      <c r="BJ79" s="61">
        <f t="shared" si="43"/>
        <v>0</v>
      </c>
      <c r="BK79" s="61" t="s">
        <v>414</v>
      </c>
      <c r="BL79" s="12">
        <v>96</v>
      </c>
    </row>
    <row r="80" spans="1:14" ht="12.75">
      <c r="A80" s="11"/>
      <c r="B80" s="54" t="s">
        <v>227</v>
      </c>
      <c r="C80" s="164" t="s">
        <v>332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6"/>
      <c r="N80" s="11"/>
    </row>
    <row r="81" spans="1:64" ht="12.75">
      <c r="A81" s="46" t="s">
        <v>160</v>
      </c>
      <c r="B81" s="53" t="s">
        <v>265</v>
      </c>
      <c r="C81" s="162" t="s">
        <v>333</v>
      </c>
      <c r="D81" s="163"/>
      <c r="E81" s="163"/>
      <c r="F81" s="163"/>
      <c r="G81" s="53" t="s">
        <v>350</v>
      </c>
      <c r="H81" s="61">
        <v>3</v>
      </c>
      <c r="I81" s="61">
        <v>0</v>
      </c>
      <c r="J81" s="61">
        <f aca="true" t="shared" si="44" ref="J81:J87">H81*AO81</f>
        <v>0</v>
      </c>
      <c r="K81" s="61">
        <f aca="true" t="shared" si="45" ref="K81:K87">H81*AP81</f>
        <v>0</v>
      </c>
      <c r="L81" s="61">
        <f aca="true" t="shared" si="46" ref="L81:L87">H81*I81</f>
        <v>0</v>
      </c>
      <c r="M81" s="71" t="s">
        <v>367</v>
      </c>
      <c r="N81" s="11"/>
      <c r="Z81" s="12">
        <f aca="true" t="shared" si="47" ref="Z81:Z87">IF(AQ81="5",BJ81,0)</f>
        <v>0</v>
      </c>
      <c r="AB81" s="12">
        <f aca="true" t="shared" si="48" ref="AB81:AB87">IF(AQ81="1",BH81,0)</f>
        <v>0</v>
      </c>
      <c r="AC81" s="12">
        <f aca="true" t="shared" si="49" ref="AC81:AC87">IF(AQ81="1",BI81,0)</f>
        <v>0</v>
      </c>
      <c r="AD81" s="12">
        <f aca="true" t="shared" si="50" ref="AD81:AD87">IF(AQ81="7",BH81,0)</f>
        <v>0</v>
      </c>
      <c r="AE81" s="12">
        <f aca="true" t="shared" si="51" ref="AE81:AE87">IF(AQ81="7",BI81,0)</f>
        <v>0</v>
      </c>
      <c r="AF81" s="12">
        <f aca="true" t="shared" si="52" ref="AF81:AF87">IF(AQ81="2",BH81,0)</f>
        <v>0</v>
      </c>
      <c r="AG81" s="12">
        <f aca="true" t="shared" si="53" ref="AG81:AG87">IF(AQ81="2",BI81,0)</f>
        <v>0</v>
      </c>
      <c r="AH81" s="12">
        <f aca="true" t="shared" si="54" ref="AH81:AH87">IF(AQ81="0",BJ81,0)</f>
        <v>0</v>
      </c>
      <c r="AI81" s="73" t="s">
        <v>6</v>
      </c>
      <c r="AJ81" s="61">
        <f aca="true" t="shared" si="55" ref="AJ81:AJ87">IF(AN81=0,L81,0)</f>
        <v>0</v>
      </c>
      <c r="AK81" s="61">
        <f aca="true" t="shared" si="56" ref="AK81:AK87">IF(AN81=15,L81,0)</f>
        <v>0</v>
      </c>
      <c r="AL81" s="61">
        <f aca="true" t="shared" si="57" ref="AL81:AL87">IF(AN81=21,L81,0)</f>
        <v>0</v>
      </c>
      <c r="AN81" s="12">
        <v>21</v>
      </c>
      <c r="AO81" s="12">
        <f>I81*0</f>
        <v>0</v>
      </c>
      <c r="AP81" s="12">
        <f>I81*(1-0)</f>
        <v>0</v>
      </c>
      <c r="AQ81" s="74" t="s">
        <v>119</v>
      </c>
      <c r="AV81" s="12">
        <f aca="true" t="shared" si="58" ref="AV81:AV87">AW81+AX81</f>
        <v>0</v>
      </c>
      <c r="AW81" s="12">
        <f aca="true" t="shared" si="59" ref="AW81:AW87">H81*AO81</f>
        <v>0</v>
      </c>
      <c r="AX81" s="12">
        <f aca="true" t="shared" si="60" ref="AX81:AX87">H81*AP81</f>
        <v>0</v>
      </c>
      <c r="AY81" s="75" t="s">
        <v>388</v>
      </c>
      <c r="AZ81" s="75" t="s">
        <v>399</v>
      </c>
      <c r="BA81" s="73" t="s">
        <v>408</v>
      </c>
      <c r="BC81" s="12">
        <f aca="true" t="shared" si="61" ref="BC81:BC87">AW81+AX81</f>
        <v>0</v>
      </c>
      <c r="BD81" s="12">
        <f aca="true" t="shared" si="62" ref="BD81:BD87">I81/(100-BE81)*100</f>
        <v>0</v>
      </c>
      <c r="BE81" s="12">
        <v>0</v>
      </c>
      <c r="BF81" s="12">
        <f>81</f>
        <v>81</v>
      </c>
      <c r="BH81" s="61">
        <f aca="true" t="shared" si="63" ref="BH81:BH87">H81*AO81</f>
        <v>0</v>
      </c>
      <c r="BI81" s="61">
        <f aca="true" t="shared" si="64" ref="BI81:BI87">H81*AP81</f>
        <v>0</v>
      </c>
      <c r="BJ81" s="61">
        <f aca="true" t="shared" si="65" ref="BJ81:BJ87">H81*I81</f>
        <v>0</v>
      </c>
      <c r="BK81" s="61" t="s">
        <v>414</v>
      </c>
      <c r="BL81" s="12">
        <v>96</v>
      </c>
    </row>
    <row r="82" spans="1:64" ht="12.75">
      <c r="A82" s="46" t="s">
        <v>161</v>
      </c>
      <c r="B82" s="53" t="s">
        <v>266</v>
      </c>
      <c r="C82" s="162" t="s">
        <v>334</v>
      </c>
      <c r="D82" s="163"/>
      <c r="E82" s="163"/>
      <c r="F82" s="163"/>
      <c r="G82" s="53" t="s">
        <v>350</v>
      </c>
      <c r="H82" s="61">
        <v>6</v>
      </c>
      <c r="I82" s="61">
        <v>0</v>
      </c>
      <c r="J82" s="61">
        <f t="shared" si="44"/>
        <v>0</v>
      </c>
      <c r="K82" s="61">
        <f t="shared" si="45"/>
        <v>0</v>
      </c>
      <c r="L82" s="61">
        <f t="shared" si="46"/>
        <v>0</v>
      </c>
      <c r="M82" s="71" t="s">
        <v>367</v>
      </c>
      <c r="N82" s="11"/>
      <c r="Z82" s="12">
        <f t="shared" si="47"/>
        <v>0</v>
      </c>
      <c r="AB82" s="12">
        <f t="shared" si="48"/>
        <v>0</v>
      </c>
      <c r="AC82" s="12">
        <f t="shared" si="49"/>
        <v>0</v>
      </c>
      <c r="AD82" s="12">
        <f t="shared" si="50"/>
        <v>0</v>
      </c>
      <c r="AE82" s="12">
        <f t="shared" si="51"/>
        <v>0</v>
      </c>
      <c r="AF82" s="12">
        <f t="shared" si="52"/>
        <v>0</v>
      </c>
      <c r="AG82" s="12">
        <f t="shared" si="53"/>
        <v>0</v>
      </c>
      <c r="AH82" s="12">
        <f t="shared" si="54"/>
        <v>0</v>
      </c>
      <c r="AI82" s="73" t="s">
        <v>6</v>
      </c>
      <c r="AJ82" s="61">
        <f t="shared" si="55"/>
        <v>0</v>
      </c>
      <c r="AK82" s="61">
        <f t="shared" si="56"/>
        <v>0</v>
      </c>
      <c r="AL82" s="61">
        <f t="shared" si="57"/>
        <v>0</v>
      </c>
      <c r="AN82" s="12">
        <v>21</v>
      </c>
      <c r="AO82" s="12">
        <f>I82*0</f>
        <v>0</v>
      </c>
      <c r="AP82" s="12">
        <f>I82*(1-0)</f>
        <v>0</v>
      </c>
      <c r="AQ82" s="74" t="s">
        <v>119</v>
      </c>
      <c r="AV82" s="12">
        <f t="shared" si="58"/>
        <v>0</v>
      </c>
      <c r="AW82" s="12">
        <f t="shared" si="59"/>
        <v>0</v>
      </c>
      <c r="AX82" s="12">
        <f t="shared" si="60"/>
        <v>0</v>
      </c>
      <c r="AY82" s="75" t="s">
        <v>388</v>
      </c>
      <c r="AZ82" s="75" t="s">
        <v>399</v>
      </c>
      <c r="BA82" s="73" t="s">
        <v>408</v>
      </c>
      <c r="BC82" s="12">
        <f t="shared" si="61"/>
        <v>0</v>
      </c>
      <c r="BD82" s="12">
        <f t="shared" si="62"/>
        <v>0</v>
      </c>
      <c r="BE82" s="12">
        <v>0</v>
      </c>
      <c r="BF82" s="12">
        <f>82</f>
        <v>82</v>
      </c>
      <c r="BH82" s="61">
        <f t="shared" si="63"/>
        <v>0</v>
      </c>
      <c r="BI82" s="61">
        <f t="shared" si="64"/>
        <v>0</v>
      </c>
      <c r="BJ82" s="61">
        <f t="shared" si="65"/>
        <v>0</v>
      </c>
      <c r="BK82" s="61" t="s">
        <v>414</v>
      </c>
      <c r="BL82" s="12">
        <v>96</v>
      </c>
    </row>
    <row r="83" spans="1:64" ht="12.75">
      <c r="A83" s="46" t="s">
        <v>162</v>
      </c>
      <c r="B83" s="53" t="s">
        <v>267</v>
      </c>
      <c r="C83" s="162" t="s">
        <v>335</v>
      </c>
      <c r="D83" s="163"/>
      <c r="E83" s="163"/>
      <c r="F83" s="163"/>
      <c r="G83" s="53" t="s">
        <v>352</v>
      </c>
      <c r="H83" s="61">
        <v>1</v>
      </c>
      <c r="I83" s="61">
        <v>0</v>
      </c>
      <c r="J83" s="61">
        <f t="shared" si="44"/>
        <v>0</v>
      </c>
      <c r="K83" s="61">
        <f t="shared" si="45"/>
        <v>0</v>
      </c>
      <c r="L83" s="61">
        <f t="shared" si="46"/>
        <v>0</v>
      </c>
      <c r="M83" s="71" t="s">
        <v>367</v>
      </c>
      <c r="N83" s="11"/>
      <c r="Z83" s="12">
        <f t="shared" si="47"/>
        <v>0</v>
      </c>
      <c r="AB83" s="12">
        <f t="shared" si="48"/>
        <v>0</v>
      </c>
      <c r="AC83" s="12">
        <f t="shared" si="49"/>
        <v>0</v>
      </c>
      <c r="AD83" s="12">
        <f t="shared" si="50"/>
        <v>0</v>
      </c>
      <c r="AE83" s="12">
        <f t="shared" si="51"/>
        <v>0</v>
      </c>
      <c r="AF83" s="12">
        <f t="shared" si="52"/>
        <v>0</v>
      </c>
      <c r="AG83" s="12">
        <f t="shared" si="53"/>
        <v>0</v>
      </c>
      <c r="AH83" s="12">
        <f t="shared" si="54"/>
        <v>0</v>
      </c>
      <c r="AI83" s="73" t="s">
        <v>6</v>
      </c>
      <c r="AJ83" s="61">
        <f t="shared" si="55"/>
        <v>0</v>
      </c>
      <c r="AK83" s="61">
        <f t="shared" si="56"/>
        <v>0</v>
      </c>
      <c r="AL83" s="61">
        <f t="shared" si="57"/>
        <v>0</v>
      </c>
      <c r="AN83" s="12">
        <v>21</v>
      </c>
      <c r="AO83" s="12">
        <f>I83*0</f>
        <v>0</v>
      </c>
      <c r="AP83" s="12">
        <f>I83*(1-0)</f>
        <v>0</v>
      </c>
      <c r="AQ83" s="74" t="s">
        <v>119</v>
      </c>
      <c r="AV83" s="12">
        <f t="shared" si="58"/>
        <v>0</v>
      </c>
      <c r="AW83" s="12">
        <f t="shared" si="59"/>
        <v>0</v>
      </c>
      <c r="AX83" s="12">
        <f t="shared" si="60"/>
        <v>0</v>
      </c>
      <c r="AY83" s="75" t="s">
        <v>388</v>
      </c>
      <c r="AZ83" s="75" t="s">
        <v>399</v>
      </c>
      <c r="BA83" s="73" t="s">
        <v>408</v>
      </c>
      <c r="BC83" s="12">
        <f t="shared" si="61"/>
        <v>0</v>
      </c>
      <c r="BD83" s="12">
        <f t="shared" si="62"/>
        <v>0</v>
      </c>
      <c r="BE83" s="12">
        <v>0</v>
      </c>
      <c r="BF83" s="12">
        <f>83</f>
        <v>83</v>
      </c>
      <c r="BH83" s="61">
        <f t="shared" si="63"/>
        <v>0</v>
      </c>
      <c r="BI83" s="61">
        <f t="shared" si="64"/>
        <v>0</v>
      </c>
      <c r="BJ83" s="61">
        <f t="shared" si="65"/>
        <v>0</v>
      </c>
      <c r="BK83" s="61" t="s">
        <v>414</v>
      </c>
      <c r="BL83" s="12">
        <v>96</v>
      </c>
    </row>
    <row r="84" spans="1:64" ht="12.75">
      <c r="A84" s="46" t="s">
        <v>163</v>
      </c>
      <c r="B84" s="53" t="s">
        <v>268</v>
      </c>
      <c r="C84" s="162" t="s">
        <v>336</v>
      </c>
      <c r="D84" s="163"/>
      <c r="E84" s="163"/>
      <c r="F84" s="163"/>
      <c r="G84" s="53" t="s">
        <v>350</v>
      </c>
      <c r="H84" s="61">
        <v>1</v>
      </c>
      <c r="I84" s="61">
        <v>0</v>
      </c>
      <c r="J84" s="61">
        <f t="shared" si="44"/>
        <v>0</v>
      </c>
      <c r="K84" s="61">
        <f t="shared" si="45"/>
        <v>0</v>
      </c>
      <c r="L84" s="61">
        <f t="shared" si="46"/>
        <v>0</v>
      </c>
      <c r="M84" s="71" t="s">
        <v>367</v>
      </c>
      <c r="N84" s="11"/>
      <c r="Z84" s="12">
        <f t="shared" si="47"/>
        <v>0</v>
      </c>
      <c r="AB84" s="12">
        <f t="shared" si="48"/>
        <v>0</v>
      </c>
      <c r="AC84" s="12">
        <f t="shared" si="49"/>
        <v>0</v>
      </c>
      <c r="AD84" s="12">
        <f t="shared" si="50"/>
        <v>0</v>
      </c>
      <c r="AE84" s="12">
        <f t="shared" si="51"/>
        <v>0</v>
      </c>
      <c r="AF84" s="12">
        <f t="shared" si="52"/>
        <v>0</v>
      </c>
      <c r="AG84" s="12">
        <f t="shared" si="53"/>
        <v>0</v>
      </c>
      <c r="AH84" s="12">
        <f t="shared" si="54"/>
        <v>0</v>
      </c>
      <c r="AI84" s="73" t="s">
        <v>6</v>
      </c>
      <c r="AJ84" s="61">
        <f t="shared" si="55"/>
        <v>0</v>
      </c>
      <c r="AK84" s="61">
        <f t="shared" si="56"/>
        <v>0</v>
      </c>
      <c r="AL84" s="61">
        <f t="shared" si="57"/>
        <v>0</v>
      </c>
      <c r="AN84" s="12">
        <v>21</v>
      </c>
      <c r="AO84" s="12">
        <f>I84*0.255943788994</f>
        <v>0</v>
      </c>
      <c r="AP84" s="12">
        <f>I84*(1-0.255943788994)</f>
        <v>0</v>
      </c>
      <c r="AQ84" s="74" t="s">
        <v>119</v>
      </c>
      <c r="AV84" s="12">
        <f t="shared" si="58"/>
        <v>0</v>
      </c>
      <c r="AW84" s="12">
        <f t="shared" si="59"/>
        <v>0</v>
      </c>
      <c r="AX84" s="12">
        <f t="shared" si="60"/>
        <v>0</v>
      </c>
      <c r="AY84" s="75" t="s">
        <v>388</v>
      </c>
      <c r="AZ84" s="75" t="s">
        <v>399</v>
      </c>
      <c r="BA84" s="73" t="s">
        <v>408</v>
      </c>
      <c r="BC84" s="12">
        <f t="shared" si="61"/>
        <v>0</v>
      </c>
      <c r="BD84" s="12">
        <f t="shared" si="62"/>
        <v>0</v>
      </c>
      <c r="BE84" s="12">
        <v>0</v>
      </c>
      <c r="BF84" s="12">
        <f>84</f>
        <v>84</v>
      </c>
      <c r="BH84" s="61">
        <f t="shared" si="63"/>
        <v>0</v>
      </c>
      <c r="BI84" s="61">
        <f t="shared" si="64"/>
        <v>0</v>
      </c>
      <c r="BJ84" s="61">
        <f t="shared" si="65"/>
        <v>0</v>
      </c>
      <c r="BK84" s="61" t="s">
        <v>414</v>
      </c>
      <c r="BL84" s="12">
        <v>96</v>
      </c>
    </row>
    <row r="85" spans="1:64" ht="12.75">
      <c r="A85" s="46" t="s">
        <v>164</v>
      </c>
      <c r="B85" s="53" t="s">
        <v>267</v>
      </c>
      <c r="C85" s="162" t="s">
        <v>337</v>
      </c>
      <c r="D85" s="163"/>
      <c r="E85" s="163"/>
      <c r="F85" s="163"/>
      <c r="G85" s="53" t="s">
        <v>352</v>
      </c>
      <c r="H85" s="61">
        <v>1</v>
      </c>
      <c r="I85" s="61">
        <v>0</v>
      </c>
      <c r="J85" s="61">
        <f t="shared" si="44"/>
        <v>0</v>
      </c>
      <c r="K85" s="61">
        <f t="shared" si="45"/>
        <v>0</v>
      </c>
      <c r="L85" s="61">
        <f t="shared" si="46"/>
        <v>0</v>
      </c>
      <c r="M85" s="71" t="s">
        <v>367</v>
      </c>
      <c r="N85" s="11"/>
      <c r="Z85" s="12">
        <f t="shared" si="47"/>
        <v>0</v>
      </c>
      <c r="AB85" s="12">
        <f t="shared" si="48"/>
        <v>0</v>
      </c>
      <c r="AC85" s="12">
        <f t="shared" si="49"/>
        <v>0</v>
      </c>
      <c r="AD85" s="12">
        <f t="shared" si="50"/>
        <v>0</v>
      </c>
      <c r="AE85" s="12">
        <f t="shared" si="51"/>
        <v>0</v>
      </c>
      <c r="AF85" s="12">
        <f t="shared" si="52"/>
        <v>0</v>
      </c>
      <c r="AG85" s="12">
        <f t="shared" si="53"/>
        <v>0</v>
      </c>
      <c r="AH85" s="12">
        <f t="shared" si="54"/>
        <v>0</v>
      </c>
      <c r="AI85" s="73" t="s">
        <v>6</v>
      </c>
      <c r="AJ85" s="61">
        <f t="shared" si="55"/>
        <v>0</v>
      </c>
      <c r="AK85" s="61">
        <f t="shared" si="56"/>
        <v>0</v>
      </c>
      <c r="AL85" s="61">
        <f t="shared" si="57"/>
        <v>0</v>
      </c>
      <c r="AN85" s="12">
        <v>21</v>
      </c>
      <c r="AO85" s="12">
        <f>I85*0</f>
        <v>0</v>
      </c>
      <c r="AP85" s="12">
        <f>I85*(1-0)</f>
        <v>0</v>
      </c>
      <c r="AQ85" s="74" t="s">
        <v>119</v>
      </c>
      <c r="AV85" s="12">
        <f t="shared" si="58"/>
        <v>0</v>
      </c>
      <c r="AW85" s="12">
        <f t="shared" si="59"/>
        <v>0</v>
      </c>
      <c r="AX85" s="12">
        <f t="shared" si="60"/>
        <v>0</v>
      </c>
      <c r="AY85" s="75" t="s">
        <v>388</v>
      </c>
      <c r="AZ85" s="75" t="s">
        <v>399</v>
      </c>
      <c r="BA85" s="73" t="s">
        <v>408</v>
      </c>
      <c r="BC85" s="12">
        <f t="shared" si="61"/>
        <v>0</v>
      </c>
      <c r="BD85" s="12">
        <f t="shared" si="62"/>
        <v>0</v>
      </c>
      <c r="BE85" s="12">
        <v>0</v>
      </c>
      <c r="BF85" s="12">
        <f>85</f>
        <v>85</v>
      </c>
      <c r="BH85" s="61">
        <f t="shared" si="63"/>
        <v>0</v>
      </c>
      <c r="BI85" s="61">
        <f t="shared" si="64"/>
        <v>0</v>
      </c>
      <c r="BJ85" s="61">
        <f t="shared" si="65"/>
        <v>0</v>
      </c>
      <c r="BK85" s="61" t="s">
        <v>414</v>
      </c>
      <c r="BL85" s="12">
        <v>96</v>
      </c>
    </row>
    <row r="86" spans="1:64" ht="12.75">
      <c r="A86" s="46" t="s">
        <v>165</v>
      </c>
      <c r="B86" s="53" t="s">
        <v>269</v>
      </c>
      <c r="C86" s="162" t="s">
        <v>338</v>
      </c>
      <c r="D86" s="163"/>
      <c r="E86" s="163"/>
      <c r="F86" s="163"/>
      <c r="G86" s="53" t="s">
        <v>350</v>
      </c>
      <c r="H86" s="61">
        <v>1</v>
      </c>
      <c r="I86" s="61">
        <v>0</v>
      </c>
      <c r="J86" s="61">
        <f t="shared" si="44"/>
        <v>0</v>
      </c>
      <c r="K86" s="61">
        <f t="shared" si="45"/>
        <v>0</v>
      </c>
      <c r="L86" s="61">
        <f t="shared" si="46"/>
        <v>0</v>
      </c>
      <c r="M86" s="71" t="s">
        <v>367</v>
      </c>
      <c r="N86" s="11"/>
      <c r="Z86" s="12">
        <f t="shared" si="47"/>
        <v>0</v>
      </c>
      <c r="AB86" s="12">
        <f t="shared" si="48"/>
        <v>0</v>
      </c>
      <c r="AC86" s="12">
        <f t="shared" si="49"/>
        <v>0</v>
      </c>
      <c r="AD86" s="12">
        <f t="shared" si="50"/>
        <v>0</v>
      </c>
      <c r="AE86" s="12">
        <f t="shared" si="51"/>
        <v>0</v>
      </c>
      <c r="AF86" s="12">
        <f t="shared" si="52"/>
        <v>0</v>
      </c>
      <c r="AG86" s="12">
        <f t="shared" si="53"/>
        <v>0</v>
      </c>
      <c r="AH86" s="12">
        <f t="shared" si="54"/>
        <v>0</v>
      </c>
      <c r="AI86" s="73" t="s">
        <v>6</v>
      </c>
      <c r="AJ86" s="61">
        <f t="shared" si="55"/>
        <v>0</v>
      </c>
      <c r="AK86" s="61">
        <f t="shared" si="56"/>
        <v>0</v>
      </c>
      <c r="AL86" s="61">
        <f t="shared" si="57"/>
        <v>0</v>
      </c>
      <c r="AN86" s="12">
        <v>21</v>
      </c>
      <c r="AO86" s="12">
        <f>I86*0.185618486549542</f>
        <v>0</v>
      </c>
      <c r="AP86" s="12">
        <f>I86*(1-0.185618486549542)</f>
        <v>0</v>
      </c>
      <c r="AQ86" s="74" t="s">
        <v>119</v>
      </c>
      <c r="AV86" s="12">
        <f t="shared" si="58"/>
        <v>0</v>
      </c>
      <c r="AW86" s="12">
        <f t="shared" si="59"/>
        <v>0</v>
      </c>
      <c r="AX86" s="12">
        <f t="shared" si="60"/>
        <v>0</v>
      </c>
      <c r="AY86" s="75" t="s">
        <v>388</v>
      </c>
      <c r="AZ86" s="75" t="s">
        <v>399</v>
      </c>
      <c r="BA86" s="73" t="s">
        <v>408</v>
      </c>
      <c r="BC86" s="12">
        <f t="shared" si="61"/>
        <v>0</v>
      </c>
      <c r="BD86" s="12">
        <f t="shared" si="62"/>
        <v>0</v>
      </c>
      <c r="BE86" s="12">
        <v>0</v>
      </c>
      <c r="BF86" s="12">
        <f>86</f>
        <v>86</v>
      </c>
      <c r="BH86" s="61">
        <f t="shared" si="63"/>
        <v>0</v>
      </c>
      <c r="BI86" s="61">
        <f t="shared" si="64"/>
        <v>0</v>
      </c>
      <c r="BJ86" s="61">
        <f t="shared" si="65"/>
        <v>0</v>
      </c>
      <c r="BK86" s="61" t="s">
        <v>414</v>
      </c>
      <c r="BL86" s="12">
        <v>96</v>
      </c>
    </row>
    <row r="87" spans="1:64" ht="12.75">
      <c r="A87" s="46" t="s">
        <v>166</v>
      </c>
      <c r="B87" s="53" t="s">
        <v>267</v>
      </c>
      <c r="C87" s="162" t="s">
        <v>339</v>
      </c>
      <c r="D87" s="163"/>
      <c r="E87" s="163"/>
      <c r="F87" s="163"/>
      <c r="G87" s="53" t="s">
        <v>352</v>
      </c>
      <c r="H87" s="61">
        <v>1</v>
      </c>
      <c r="I87" s="61">
        <v>0</v>
      </c>
      <c r="J87" s="61">
        <f t="shared" si="44"/>
        <v>0</v>
      </c>
      <c r="K87" s="61">
        <f t="shared" si="45"/>
        <v>0</v>
      </c>
      <c r="L87" s="61">
        <f t="shared" si="46"/>
        <v>0</v>
      </c>
      <c r="M87" s="71" t="s">
        <v>367</v>
      </c>
      <c r="N87" s="11"/>
      <c r="Z87" s="12">
        <f t="shared" si="47"/>
        <v>0</v>
      </c>
      <c r="AB87" s="12">
        <f t="shared" si="48"/>
        <v>0</v>
      </c>
      <c r="AC87" s="12">
        <f t="shared" si="49"/>
        <v>0</v>
      </c>
      <c r="AD87" s="12">
        <f t="shared" si="50"/>
        <v>0</v>
      </c>
      <c r="AE87" s="12">
        <f t="shared" si="51"/>
        <v>0</v>
      </c>
      <c r="AF87" s="12">
        <f t="shared" si="52"/>
        <v>0</v>
      </c>
      <c r="AG87" s="12">
        <f t="shared" si="53"/>
        <v>0</v>
      </c>
      <c r="AH87" s="12">
        <f t="shared" si="54"/>
        <v>0</v>
      </c>
      <c r="AI87" s="73" t="s">
        <v>6</v>
      </c>
      <c r="AJ87" s="61">
        <f t="shared" si="55"/>
        <v>0</v>
      </c>
      <c r="AK87" s="61">
        <f t="shared" si="56"/>
        <v>0</v>
      </c>
      <c r="AL87" s="61">
        <f t="shared" si="57"/>
        <v>0</v>
      </c>
      <c r="AN87" s="12">
        <v>21</v>
      </c>
      <c r="AO87" s="12">
        <f>I87*0</f>
        <v>0</v>
      </c>
      <c r="AP87" s="12">
        <f>I87*(1-0)</f>
        <v>0</v>
      </c>
      <c r="AQ87" s="74" t="s">
        <v>119</v>
      </c>
      <c r="AV87" s="12">
        <f t="shared" si="58"/>
        <v>0</v>
      </c>
      <c r="AW87" s="12">
        <f t="shared" si="59"/>
        <v>0</v>
      </c>
      <c r="AX87" s="12">
        <f t="shared" si="60"/>
        <v>0</v>
      </c>
      <c r="AY87" s="75" t="s">
        <v>388</v>
      </c>
      <c r="AZ87" s="75" t="s">
        <v>399</v>
      </c>
      <c r="BA87" s="73" t="s">
        <v>408</v>
      </c>
      <c r="BC87" s="12">
        <f t="shared" si="61"/>
        <v>0</v>
      </c>
      <c r="BD87" s="12">
        <f t="shared" si="62"/>
        <v>0</v>
      </c>
      <c r="BE87" s="12">
        <v>0</v>
      </c>
      <c r="BF87" s="12">
        <f>87</f>
        <v>87</v>
      </c>
      <c r="BH87" s="61">
        <f t="shared" si="63"/>
        <v>0</v>
      </c>
      <c r="BI87" s="61">
        <f t="shared" si="64"/>
        <v>0</v>
      </c>
      <c r="BJ87" s="61">
        <f t="shared" si="65"/>
        <v>0</v>
      </c>
      <c r="BK87" s="61" t="s">
        <v>414</v>
      </c>
      <c r="BL87" s="12">
        <v>96</v>
      </c>
    </row>
    <row r="88" spans="1:47" ht="12.75">
      <c r="A88" s="45"/>
      <c r="B88" s="52" t="s">
        <v>21</v>
      </c>
      <c r="C88" s="160" t="s">
        <v>37</v>
      </c>
      <c r="D88" s="161"/>
      <c r="E88" s="161"/>
      <c r="F88" s="161"/>
      <c r="G88" s="58" t="s">
        <v>44</v>
      </c>
      <c r="H88" s="58" t="s">
        <v>44</v>
      </c>
      <c r="I88" s="58" t="s">
        <v>44</v>
      </c>
      <c r="J88" s="78">
        <f>SUM(J89:J91)</f>
        <v>0</v>
      </c>
      <c r="K88" s="78">
        <f>SUM(K89:K91)</f>
        <v>0</v>
      </c>
      <c r="L88" s="78">
        <f>SUM(L89:L91)</f>
        <v>0</v>
      </c>
      <c r="M88" s="70"/>
      <c r="N88" s="11"/>
      <c r="AI88" s="73" t="s">
        <v>6</v>
      </c>
      <c r="AS88" s="78">
        <f>SUM(AJ89:AJ91)</f>
        <v>0</v>
      </c>
      <c r="AT88" s="78">
        <f>SUM(AK89:AK91)</f>
        <v>0</v>
      </c>
      <c r="AU88" s="78">
        <f>SUM(AL89:AL91)</f>
        <v>0</v>
      </c>
    </row>
    <row r="89" spans="1:64" ht="12.75">
      <c r="A89" s="46" t="s">
        <v>167</v>
      </c>
      <c r="B89" s="53" t="s">
        <v>270</v>
      </c>
      <c r="C89" s="162" t="s">
        <v>340</v>
      </c>
      <c r="D89" s="163"/>
      <c r="E89" s="163"/>
      <c r="F89" s="163"/>
      <c r="G89" s="53" t="s">
        <v>354</v>
      </c>
      <c r="H89" s="61">
        <v>3</v>
      </c>
      <c r="I89" s="61">
        <v>0</v>
      </c>
      <c r="J89" s="61">
        <f>H89*AO89</f>
        <v>0</v>
      </c>
      <c r="K89" s="61">
        <f>H89*AP89</f>
        <v>0</v>
      </c>
      <c r="L89" s="61">
        <f>H89*I89</f>
        <v>0</v>
      </c>
      <c r="M89" s="71" t="s">
        <v>367</v>
      </c>
      <c r="N89" s="11"/>
      <c r="Z89" s="12">
        <f>IF(AQ89="5",BJ89,0)</f>
        <v>0</v>
      </c>
      <c r="AB89" s="12">
        <f>IF(AQ89="1",BH89,0)</f>
        <v>0</v>
      </c>
      <c r="AC89" s="12">
        <f>IF(AQ89="1",BI89,0)</f>
        <v>0</v>
      </c>
      <c r="AD89" s="12">
        <f>IF(AQ89="7",BH89,0)</f>
        <v>0</v>
      </c>
      <c r="AE89" s="12">
        <f>IF(AQ89="7",BI89,0)</f>
        <v>0</v>
      </c>
      <c r="AF89" s="12">
        <f>IF(AQ89="2",BH89,0)</f>
        <v>0</v>
      </c>
      <c r="AG89" s="12">
        <f>IF(AQ89="2",BI89,0)</f>
        <v>0</v>
      </c>
      <c r="AH89" s="12">
        <f>IF(AQ89="0",BJ89,0)</f>
        <v>0</v>
      </c>
      <c r="AI89" s="73" t="s">
        <v>6</v>
      </c>
      <c r="AJ89" s="61">
        <f>IF(AN89=0,L89,0)</f>
        <v>0</v>
      </c>
      <c r="AK89" s="61">
        <f>IF(AN89=15,L89,0)</f>
        <v>0</v>
      </c>
      <c r="AL89" s="61">
        <f>IF(AN89=21,L89,0)</f>
        <v>0</v>
      </c>
      <c r="AN89" s="12">
        <v>21</v>
      </c>
      <c r="AO89" s="12">
        <f>I89*0</f>
        <v>0</v>
      </c>
      <c r="AP89" s="12">
        <f>I89*(1-0)</f>
        <v>0</v>
      </c>
      <c r="AQ89" s="74" t="s">
        <v>119</v>
      </c>
      <c r="AV89" s="12">
        <f>AW89+AX89</f>
        <v>0</v>
      </c>
      <c r="AW89" s="12">
        <f>H89*AO89</f>
        <v>0</v>
      </c>
      <c r="AX89" s="12">
        <f>H89*AP89</f>
        <v>0</v>
      </c>
      <c r="AY89" s="75" t="s">
        <v>389</v>
      </c>
      <c r="AZ89" s="75" t="s">
        <v>399</v>
      </c>
      <c r="BA89" s="73" t="s">
        <v>408</v>
      </c>
      <c r="BC89" s="12">
        <f>AW89+AX89</f>
        <v>0</v>
      </c>
      <c r="BD89" s="12">
        <f>I89/(100-BE89)*100</f>
        <v>0</v>
      </c>
      <c r="BE89" s="12">
        <v>0</v>
      </c>
      <c r="BF89" s="12">
        <f>89</f>
        <v>89</v>
      </c>
      <c r="BH89" s="61">
        <f>H89*AO89</f>
        <v>0</v>
      </c>
      <c r="BI89" s="61">
        <f>H89*AP89</f>
        <v>0</v>
      </c>
      <c r="BJ89" s="61">
        <f>H89*I89</f>
        <v>0</v>
      </c>
      <c r="BK89" s="61" t="s">
        <v>414</v>
      </c>
      <c r="BL89" s="12">
        <v>97</v>
      </c>
    </row>
    <row r="90" spans="1:64" ht="12.75">
      <c r="A90" s="46" t="s">
        <v>168</v>
      </c>
      <c r="B90" s="53" t="s">
        <v>270</v>
      </c>
      <c r="C90" s="162" t="s">
        <v>341</v>
      </c>
      <c r="D90" s="163"/>
      <c r="E90" s="163"/>
      <c r="F90" s="163"/>
      <c r="G90" s="53" t="s">
        <v>354</v>
      </c>
      <c r="H90" s="61">
        <v>2</v>
      </c>
      <c r="I90" s="61">
        <v>0</v>
      </c>
      <c r="J90" s="61">
        <f>H90*AO90</f>
        <v>0</v>
      </c>
      <c r="K90" s="61">
        <f>H90*AP90</f>
        <v>0</v>
      </c>
      <c r="L90" s="61">
        <f>H90*I90</f>
        <v>0</v>
      </c>
      <c r="M90" s="71" t="s">
        <v>367</v>
      </c>
      <c r="N90" s="11"/>
      <c r="Z90" s="12">
        <f>IF(AQ90="5",BJ90,0)</f>
        <v>0</v>
      </c>
      <c r="AB90" s="12">
        <f>IF(AQ90="1",BH90,0)</f>
        <v>0</v>
      </c>
      <c r="AC90" s="12">
        <f>IF(AQ90="1",BI90,0)</f>
        <v>0</v>
      </c>
      <c r="AD90" s="12">
        <f>IF(AQ90="7",BH90,0)</f>
        <v>0</v>
      </c>
      <c r="AE90" s="12">
        <f>IF(AQ90="7",BI90,0)</f>
        <v>0</v>
      </c>
      <c r="AF90" s="12">
        <f>IF(AQ90="2",BH90,0)</f>
        <v>0</v>
      </c>
      <c r="AG90" s="12">
        <f>IF(AQ90="2",BI90,0)</f>
        <v>0</v>
      </c>
      <c r="AH90" s="12">
        <f>IF(AQ90="0",BJ90,0)</f>
        <v>0</v>
      </c>
      <c r="AI90" s="73" t="s">
        <v>6</v>
      </c>
      <c r="AJ90" s="61">
        <f>IF(AN90=0,L90,0)</f>
        <v>0</v>
      </c>
      <c r="AK90" s="61">
        <f>IF(AN90=15,L90,0)</f>
        <v>0</v>
      </c>
      <c r="AL90" s="61">
        <f>IF(AN90=21,L90,0)</f>
        <v>0</v>
      </c>
      <c r="AN90" s="12">
        <v>21</v>
      </c>
      <c r="AO90" s="12">
        <f>I90*0</f>
        <v>0</v>
      </c>
      <c r="AP90" s="12">
        <f>I90*(1-0)</f>
        <v>0</v>
      </c>
      <c r="AQ90" s="74" t="s">
        <v>119</v>
      </c>
      <c r="AV90" s="12">
        <f>AW90+AX90</f>
        <v>0</v>
      </c>
      <c r="AW90" s="12">
        <f>H90*AO90</f>
        <v>0</v>
      </c>
      <c r="AX90" s="12">
        <f>H90*AP90</f>
        <v>0</v>
      </c>
      <c r="AY90" s="75" t="s">
        <v>389</v>
      </c>
      <c r="AZ90" s="75" t="s">
        <v>399</v>
      </c>
      <c r="BA90" s="73" t="s">
        <v>408</v>
      </c>
      <c r="BC90" s="12">
        <f>AW90+AX90</f>
        <v>0</v>
      </c>
      <c r="BD90" s="12">
        <f>I90/(100-BE90)*100</f>
        <v>0</v>
      </c>
      <c r="BE90" s="12">
        <v>0</v>
      </c>
      <c r="BF90" s="12">
        <f>90</f>
        <v>90</v>
      </c>
      <c r="BH90" s="61">
        <f>H90*AO90</f>
        <v>0</v>
      </c>
      <c r="BI90" s="61">
        <f>H90*AP90</f>
        <v>0</v>
      </c>
      <c r="BJ90" s="61">
        <f>H90*I90</f>
        <v>0</v>
      </c>
      <c r="BK90" s="61" t="s">
        <v>414</v>
      </c>
      <c r="BL90" s="12">
        <v>97</v>
      </c>
    </row>
    <row r="91" spans="1:64" ht="12.75">
      <c r="A91" s="46" t="s">
        <v>169</v>
      </c>
      <c r="B91" s="53" t="s">
        <v>271</v>
      </c>
      <c r="C91" s="162" t="s">
        <v>342</v>
      </c>
      <c r="D91" s="163"/>
      <c r="E91" s="163"/>
      <c r="F91" s="163"/>
      <c r="G91" s="53" t="s">
        <v>354</v>
      </c>
      <c r="H91" s="61">
        <v>5</v>
      </c>
      <c r="I91" s="61">
        <v>0</v>
      </c>
      <c r="J91" s="61">
        <f>H91*AO91</f>
        <v>0</v>
      </c>
      <c r="K91" s="61">
        <f>H91*AP91</f>
        <v>0</v>
      </c>
      <c r="L91" s="61">
        <f>H91*I91</f>
        <v>0</v>
      </c>
      <c r="M91" s="71" t="s">
        <v>367</v>
      </c>
      <c r="N91" s="11"/>
      <c r="Z91" s="12">
        <f>IF(AQ91="5",BJ91,0)</f>
        <v>0</v>
      </c>
      <c r="AB91" s="12">
        <f>IF(AQ91="1",BH91,0)</f>
        <v>0</v>
      </c>
      <c r="AC91" s="12">
        <f>IF(AQ91="1",BI91,0)</f>
        <v>0</v>
      </c>
      <c r="AD91" s="12">
        <f>IF(AQ91="7",BH91,0)</f>
        <v>0</v>
      </c>
      <c r="AE91" s="12">
        <f>IF(AQ91="7",BI91,0)</f>
        <v>0</v>
      </c>
      <c r="AF91" s="12">
        <f>IF(AQ91="2",BH91,0)</f>
        <v>0</v>
      </c>
      <c r="AG91" s="12">
        <f>IF(AQ91="2",BI91,0)</f>
        <v>0</v>
      </c>
      <c r="AH91" s="12">
        <f>IF(AQ91="0",BJ91,0)</f>
        <v>0</v>
      </c>
      <c r="AI91" s="73" t="s">
        <v>6</v>
      </c>
      <c r="AJ91" s="61">
        <f>IF(AN91=0,L91,0)</f>
        <v>0</v>
      </c>
      <c r="AK91" s="61">
        <f>IF(AN91=15,L91,0)</f>
        <v>0</v>
      </c>
      <c r="AL91" s="61">
        <f>IF(AN91=21,L91,0)</f>
        <v>0</v>
      </c>
      <c r="AN91" s="12">
        <v>21</v>
      </c>
      <c r="AO91" s="12">
        <f>I91*0</f>
        <v>0</v>
      </c>
      <c r="AP91" s="12">
        <f>I91*(1-0)</f>
        <v>0</v>
      </c>
      <c r="AQ91" s="74" t="s">
        <v>123</v>
      </c>
      <c r="AV91" s="12">
        <f>AW91+AX91</f>
        <v>0</v>
      </c>
      <c r="AW91" s="12">
        <f>H91*AO91</f>
        <v>0</v>
      </c>
      <c r="AX91" s="12">
        <f>H91*AP91</f>
        <v>0</v>
      </c>
      <c r="AY91" s="75" t="s">
        <v>389</v>
      </c>
      <c r="AZ91" s="75" t="s">
        <v>399</v>
      </c>
      <c r="BA91" s="73" t="s">
        <v>408</v>
      </c>
      <c r="BC91" s="12">
        <f>AW91+AX91</f>
        <v>0</v>
      </c>
      <c r="BD91" s="12">
        <f>I91/(100-BE91)*100</f>
        <v>0</v>
      </c>
      <c r="BE91" s="12">
        <v>0</v>
      </c>
      <c r="BF91" s="12">
        <f>91</f>
        <v>91</v>
      </c>
      <c r="BH91" s="61">
        <f>H91*AO91</f>
        <v>0</v>
      </c>
      <c r="BI91" s="61">
        <f>H91*AP91</f>
        <v>0</v>
      </c>
      <c r="BJ91" s="61">
        <f>H91*I91</f>
        <v>0</v>
      </c>
      <c r="BK91" s="61" t="s">
        <v>414</v>
      </c>
      <c r="BL91" s="12">
        <v>97</v>
      </c>
    </row>
    <row r="92" spans="1:47" ht="12.75">
      <c r="A92" s="45"/>
      <c r="B92" s="52" t="s">
        <v>22</v>
      </c>
      <c r="C92" s="160" t="s">
        <v>38</v>
      </c>
      <c r="D92" s="161"/>
      <c r="E92" s="161"/>
      <c r="F92" s="161"/>
      <c r="G92" s="58" t="s">
        <v>44</v>
      </c>
      <c r="H92" s="58" t="s">
        <v>44</v>
      </c>
      <c r="I92" s="58" t="s">
        <v>44</v>
      </c>
      <c r="J92" s="78">
        <f>SUM(J93:J93)</f>
        <v>0</v>
      </c>
      <c r="K92" s="78">
        <f>SUM(K93:K93)</f>
        <v>0</v>
      </c>
      <c r="L92" s="78">
        <f>SUM(L93:L93)</f>
        <v>0</v>
      </c>
      <c r="M92" s="70"/>
      <c r="N92" s="11"/>
      <c r="AI92" s="73" t="s">
        <v>6</v>
      </c>
      <c r="AS92" s="78">
        <f>SUM(AJ93:AJ93)</f>
        <v>0</v>
      </c>
      <c r="AT92" s="78">
        <f>SUM(AK93:AK93)</f>
        <v>0</v>
      </c>
      <c r="AU92" s="78">
        <f>SUM(AL93:AL93)</f>
        <v>0</v>
      </c>
    </row>
    <row r="93" spans="1:64" ht="12.75">
      <c r="A93" s="46" t="s">
        <v>170</v>
      </c>
      <c r="B93" s="53" t="s">
        <v>271</v>
      </c>
      <c r="C93" s="162" t="s">
        <v>343</v>
      </c>
      <c r="D93" s="163"/>
      <c r="E93" s="163"/>
      <c r="F93" s="163"/>
      <c r="G93" s="53" t="s">
        <v>354</v>
      </c>
      <c r="H93" s="61">
        <v>7</v>
      </c>
      <c r="I93" s="61">
        <v>0</v>
      </c>
      <c r="J93" s="61">
        <f>H93*AO93</f>
        <v>0</v>
      </c>
      <c r="K93" s="61">
        <f>H93*AP93</f>
        <v>0</v>
      </c>
      <c r="L93" s="61">
        <f>H93*I93</f>
        <v>0</v>
      </c>
      <c r="M93" s="71" t="s">
        <v>367</v>
      </c>
      <c r="N93" s="11"/>
      <c r="Z93" s="12">
        <f>IF(AQ93="5",BJ93,0)</f>
        <v>0</v>
      </c>
      <c r="AB93" s="12">
        <f>IF(AQ93="1",BH93,0)</f>
        <v>0</v>
      </c>
      <c r="AC93" s="12">
        <f>IF(AQ93="1",BI93,0)</f>
        <v>0</v>
      </c>
      <c r="AD93" s="12">
        <f>IF(AQ93="7",BH93,0)</f>
        <v>0</v>
      </c>
      <c r="AE93" s="12">
        <f>IF(AQ93="7",BI93,0)</f>
        <v>0</v>
      </c>
      <c r="AF93" s="12">
        <f>IF(AQ93="2",BH93,0)</f>
        <v>0</v>
      </c>
      <c r="AG93" s="12">
        <f>IF(AQ93="2",BI93,0)</f>
        <v>0</v>
      </c>
      <c r="AH93" s="12">
        <f>IF(AQ93="0",BJ93,0)</f>
        <v>0</v>
      </c>
      <c r="AI93" s="73" t="s">
        <v>6</v>
      </c>
      <c r="AJ93" s="61">
        <f>IF(AN93=0,L93,0)</f>
        <v>0</v>
      </c>
      <c r="AK93" s="61">
        <f>IF(AN93=15,L93,0)</f>
        <v>0</v>
      </c>
      <c r="AL93" s="61">
        <f>IF(AN93=21,L93,0)</f>
        <v>0</v>
      </c>
      <c r="AN93" s="12">
        <v>21</v>
      </c>
      <c r="AO93" s="12">
        <f>I93*0</f>
        <v>0</v>
      </c>
      <c r="AP93" s="12">
        <f>I93*(1-0)</f>
        <v>0</v>
      </c>
      <c r="AQ93" s="74" t="s">
        <v>123</v>
      </c>
      <c r="AV93" s="12">
        <f>AW93+AX93</f>
        <v>0</v>
      </c>
      <c r="AW93" s="12">
        <f>H93*AO93</f>
        <v>0</v>
      </c>
      <c r="AX93" s="12">
        <f>H93*AP93</f>
        <v>0</v>
      </c>
      <c r="AY93" s="75" t="s">
        <v>390</v>
      </c>
      <c r="AZ93" s="75" t="s">
        <v>399</v>
      </c>
      <c r="BA93" s="73" t="s">
        <v>408</v>
      </c>
      <c r="BC93" s="12">
        <f>AW93+AX93</f>
        <v>0</v>
      </c>
      <c r="BD93" s="12">
        <f>I93/(100-BE93)*100</f>
        <v>0</v>
      </c>
      <c r="BE93" s="12">
        <v>0</v>
      </c>
      <c r="BF93" s="12">
        <f>93</f>
        <v>93</v>
      </c>
      <c r="BH93" s="61">
        <f>H93*AO93</f>
        <v>0</v>
      </c>
      <c r="BI93" s="61">
        <f>H93*AP93</f>
        <v>0</v>
      </c>
      <c r="BJ93" s="61">
        <f>H93*I93</f>
        <v>0</v>
      </c>
      <c r="BK93" s="61" t="s">
        <v>414</v>
      </c>
      <c r="BL93" s="12" t="s">
        <v>22</v>
      </c>
    </row>
    <row r="94" spans="1:47" ht="12.75">
      <c r="A94" s="45"/>
      <c r="B94" s="52" t="s">
        <v>23</v>
      </c>
      <c r="C94" s="160" t="s">
        <v>39</v>
      </c>
      <c r="D94" s="161"/>
      <c r="E94" s="161"/>
      <c r="F94" s="161"/>
      <c r="G94" s="58" t="s">
        <v>44</v>
      </c>
      <c r="H94" s="58" t="s">
        <v>44</v>
      </c>
      <c r="I94" s="58" t="s">
        <v>44</v>
      </c>
      <c r="J94" s="78">
        <f>SUM(J95:J98)</f>
        <v>0</v>
      </c>
      <c r="K94" s="78">
        <f>SUM(K95:K98)</f>
        <v>0</v>
      </c>
      <c r="L94" s="78">
        <f>SUM(L95:L98)</f>
        <v>0</v>
      </c>
      <c r="M94" s="70"/>
      <c r="N94" s="11"/>
      <c r="AI94" s="73" t="s">
        <v>6</v>
      </c>
      <c r="AS94" s="78">
        <f>SUM(AJ95:AJ98)</f>
        <v>0</v>
      </c>
      <c r="AT94" s="78">
        <f>SUM(AK95:AK98)</f>
        <v>0</v>
      </c>
      <c r="AU94" s="78">
        <f>SUM(AL95:AL98)</f>
        <v>0</v>
      </c>
    </row>
    <row r="95" spans="1:64" ht="12.75">
      <c r="A95" s="46" t="s">
        <v>171</v>
      </c>
      <c r="B95" s="53" t="s">
        <v>272</v>
      </c>
      <c r="C95" s="162" t="s">
        <v>344</v>
      </c>
      <c r="D95" s="163"/>
      <c r="E95" s="163"/>
      <c r="F95" s="163"/>
      <c r="G95" s="53" t="s">
        <v>115</v>
      </c>
      <c r="H95" s="61">
        <v>3</v>
      </c>
      <c r="I95" s="61">
        <v>0</v>
      </c>
      <c r="J95" s="61">
        <f>H95*AO95</f>
        <v>0</v>
      </c>
      <c r="K95" s="61">
        <f>H95*AP95</f>
        <v>0</v>
      </c>
      <c r="L95" s="61">
        <f>H95*I95</f>
        <v>0</v>
      </c>
      <c r="M95" s="71"/>
      <c r="N95" s="11"/>
      <c r="Z95" s="12">
        <f>IF(AQ95="5",BJ95,0)</f>
        <v>0</v>
      </c>
      <c r="AB95" s="12">
        <f>IF(AQ95="1",BH95,0)</f>
        <v>0</v>
      </c>
      <c r="AC95" s="12">
        <f>IF(AQ95="1",BI95,0)</f>
        <v>0</v>
      </c>
      <c r="AD95" s="12">
        <f>IF(AQ95="7",BH95,0)</f>
        <v>0</v>
      </c>
      <c r="AE95" s="12">
        <f>IF(AQ95="7",BI95,0)</f>
        <v>0</v>
      </c>
      <c r="AF95" s="12">
        <f>IF(AQ95="2",BH95,0)</f>
        <v>0</v>
      </c>
      <c r="AG95" s="12">
        <f>IF(AQ95="2",BI95,0)</f>
        <v>0</v>
      </c>
      <c r="AH95" s="12">
        <f>IF(AQ95="0",BJ95,0)</f>
        <v>0</v>
      </c>
      <c r="AI95" s="73" t="s">
        <v>6</v>
      </c>
      <c r="AJ95" s="61">
        <f>IF(AN95=0,L95,0)</f>
        <v>0</v>
      </c>
      <c r="AK95" s="61">
        <f>IF(AN95=15,L95,0)</f>
        <v>0</v>
      </c>
      <c r="AL95" s="61">
        <f>IF(AN95=21,L95,0)</f>
        <v>0</v>
      </c>
      <c r="AN95" s="12">
        <v>21</v>
      </c>
      <c r="AO95" s="12">
        <f>I95*0</f>
        <v>0</v>
      </c>
      <c r="AP95" s="12">
        <f>I95*(1-0)</f>
        <v>0</v>
      </c>
      <c r="AQ95" s="74" t="s">
        <v>120</v>
      </c>
      <c r="AV95" s="12">
        <f>AW95+AX95</f>
        <v>0</v>
      </c>
      <c r="AW95" s="12">
        <f>H95*AO95</f>
        <v>0</v>
      </c>
      <c r="AX95" s="12">
        <f>H95*AP95</f>
        <v>0</v>
      </c>
      <c r="AY95" s="75" t="s">
        <v>391</v>
      </c>
      <c r="AZ95" s="75" t="s">
        <v>399</v>
      </c>
      <c r="BA95" s="73" t="s">
        <v>408</v>
      </c>
      <c r="BC95" s="12">
        <f>AW95+AX95</f>
        <v>0</v>
      </c>
      <c r="BD95" s="12">
        <f>I95/(100-BE95)*100</f>
        <v>0</v>
      </c>
      <c r="BE95" s="12">
        <v>0</v>
      </c>
      <c r="BF95" s="12">
        <f>95</f>
        <v>95</v>
      </c>
      <c r="BH95" s="61">
        <f>H95*AO95</f>
        <v>0</v>
      </c>
      <c r="BI95" s="61">
        <f>H95*AP95</f>
        <v>0</v>
      </c>
      <c r="BJ95" s="61">
        <f>H95*I95</f>
        <v>0</v>
      </c>
      <c r="BK95" s="61" t="s">
        <v>414</v>
      </c>
      <c r="BL95" s="12" t="s">
        <v>23</v>
      </c>
    </row>
    <row r="96" spans="1:64" ht="12.75">
      <c r="A96" s="46" t="s">
        <v>172</v>
      </c>
      <c r="B96" s="53" t="s">
        <v>273</v>
      </c>
      <c r="C96" s="162" t="s">
        <v>345</v>
      </c>
      <c r="D96" s="163"/>
      <c r="E96" s="163"/>
      <c r="F96" s="163"/>
      <c r="G96" s="53" t="s">
        <v>115</v>
      </c>
      <c r="H96" s="61">
        <v>5</v>
      </c>
      <c r="I96" s="61">
        <v>0</v>
      </c>
      <c r="J96" s="61">
        <f>H96*AO96</f>
        <v>0</v>
      </c>
      <c r="K96" s="61">
        <f>H96*AP96</f>
        <v>0</v>
      </c>
      <c r="L96" s="61">
        <f>H96*I96</f>
        <v>0</v>
      </c>
      <c r="M96" s="71"/>
      <c r="N96" s="11"/>
      <c r="Z96" s="12">
        <f>IF(AQ96="5",BJ96,0)</f>
        <v>0</v>
      </c>
      <c r="AB96" s="12">
        <f>IF(AQ96="1",BH96,0)</f>
        <v>0</v>
      </c>
      <c r="AC96" s="12">
        <f>IF(AQ96="1",BI96,0)</f>
        <v>0</v>
      </c>
      <c r="AD96" s="12">
        <f>IF(AQ96="7",BH96,0)</f>
        <v>0</v>
      </c>
      <c r="AE96" s="12">
        <f>IF(AQ96="7",BI96,0)</f>
        <v>0</v>
      </c>
      <c r="AF96" s="12">
        <f>IF(AQ96="2",BH96,0)</f>
        <v>0</v>
      </c>
      <c r="AG96" s="12">
        <f>IF(AQ96="2",BI96,0)</f>
        <v>0</v>
      </c>
      <c r="AH96" s="12">
        <f>IF(AQ96="0",BJ96,0)</f>
        <v>0</v>
      </c>
      <c r="AI96" s="73" t="s">
        <v>6</v>
      </c>
      <c r="AJ96" s="61">
        <f>IF(AN96=0,L96,0)</f>
        <v>0</v>
      </c>
      <c r="AK96" s="61">
        <f>IF(AN96=15,L96,0)</f>
        <v>0</v>
      </c>
      <c r="AL96" s="61">
        <f>IF(AN96=21,L96,0)</f>
        <v>0</v>
      </c>
      <c r="AN96" s="12">
        <v>21</v>
      </c>
      <c r="AO96" s="12">
        <f>I96*0</f>
        <v>0</v>
      </c>
      <c r="AP96" s="12">
        <f>I96*(1-0)</f>
        <v>0</v>
      </c>
      <c r="AQ96" s="74" t="s">
        <v>119</v>
      </c>
      <c r="AV96" s="12">
        <f>AW96+AX96</f>
        <v>0</v>
      </c>
      <c r="AW96" s="12">
        <f>H96*AO96</f>
        <v>0</v>
      </c>
      <c r="AX96" s="12">
        <f>H96*AP96</f>
        <v>0</v>
      </c>
      <c r="AY96" s="75" t="s">
        <v>391</v>
      </c>
      <c r="AZ96" s="75" t="s">
        <v>399</v>
      </c>
      <c r="BA96" s="73" t="s">
        <v>408</v>
      </c>
      <c r="BC96" s="12">
        <f>AW96+AX96</f>
        <v>0</v>
      </c>
      <c r="BD96" s="12">
        <f>I96/(100-BE96)*100</f>
        <v>0</v>
      </c>
      <c r="BE96" s="12">
        <v>0</v>
      </c>
      <c r="BF96" s="12">
        <f>96</f>
        <v>96</v>
      </c>
      <c r="BH96" s="61">
        <f>H96*AO96</f>
        <v>0</v>
      </c>
      <c r="BI96" s="61">
        <f>H96*AP96</f>
        <v>0</v>
      </c>
      <c r="BJ96" s="61">
        <f>H96*I96</f>
        <v>0</v>
      </c>
      <c r="BK96" s="61" t="s">
        <v>414</v>
      </c>
      <c r="BL96" s="12" t="s">
        <v>23</v>
      </c>
    </row>
    <row r="97" spans="1:64" ht="12.75">
      <c r="A97" s="46" t="s">
        <v>173</v>
      </c>
      <c r="B97" s="53" t="s">
        <v>228</v>
      </c>
      <c r="C97" s="162" t="s">
        <v>346</v>
      </c>
      <c r="D97" s="163"/>
      <c r="E97" s="163"/>
      <c r="F97" s="163"/>
      <c r="G97" s="53" t="s">
        <v>352</v>
      </c>
      <c r="H97" s="61">
        <v>1</v>
      </c>
      <c r="I97" s="61">
        <v>0</v>
      </c>
      <c r="J97" s="61">
        <f>H97*AO97</f>
        <v>0</v>
      </c>
      <c r="K97" s="61">
        <f>H97*AP97</f>
        <v>0</v>
      </c>
      <c r="L97" s="61">
        <f>H97*I97</f>
        <v>0</v>
      </c>
      <c r="M97" s="71" t="s">
        <v>367</v>
      </c>
      <c r="N97" s="11"/>
      <c r="Z97" s="12">
        <f>IF(AQ97="5",BJ97,0)</f>
        <v>0</v>
      </c>
      <c r="AB97" s="12">
        <f>IF(AQ97="1",BH97,0)</f>
        <v>0</v>
      </c>
      <c r="AC97" s="12">
        <f>IF(AQ97="1",BI97,0)</f>
        <v>0</v>
      </c>
      <c r="AD97" s="12">
        <f>IF(AQ97="7",BH97,0)</f>
        <v>0</v>
      </c>
      <c r="AE97" s="12">
        <f>IF(AQ97="7",BI97,0)</f>
        <v>0</v>
      </c>
      <c r="AF97" s="12">
        <f>IF(AQ97="2",BH97,0)</f>
        <v>0</v>
      </c>
      <c r="AG97" s="12">
        <f>IF(AQ97="2",BI97,0)</f>
        <v>0</v>
      </c>
      <c r="AH97" s="12">
        <f>IF(AQ97="0",BJ97,0)</f>
        <v>0</v>
      </c>
      <c r="AI97" s="73" t="s">
        <v>6</v>
      </c>
      <c r="AJ97" s="61">
        <f>IF(AN97=0,L97,0)</f>
        <v>0</v>
      </c>
      <c r="AK97" s="61">
        <f>IF(AN97=15,L97,0)</f>
        <v>0</v>
      </c>
      <c r="AL97" s="61">
        <f>IF(AN97=21,L97,0)</f>
        <v>0</v>
      </c>
      <c r="AN97" s="12">
        <v>21</v>
      </c>
      <c r="AO97" s="12">
        <f>I97*0.392628</f>
        <v>0</v>
      </c>
      <c r="AP97" s="12">
        <f>I97*(1-0.392628)</f>
        <v>0</v>
      </c>
      <c r="AQ97" s="74" t="s">
        <v>119</v>
      </c>
      <c r="AV97" s="12">
        <f>AW97+AX97</f>
        <v>0</v>
      </c>
      <c r="AW97" s="12">
        <f>H97*AO97</f>
        <v>0</v>
      </c>
      <c r="AX97" s="12">
        <f>H97*AP97</f>
        <v>0</v>
      </c>
      <c r="AY97" s="75" t="s">
        <v>391</v>
      </c>
      <c r="AZ97" s="75" t="s">
        <v>399</v>
      </c>
      <c r="BA97" s="73" t="s">
        <v>408</v>
      </c>
      <c r="BC97" s="12">
        <f>AW97+AX97</f>
        <v>0</v>
      </c>
      <c r="BD97" s="12">
        <f>I97/(100-BE97)*100</f>
        <v>0</v>
      </c>
      <c r="BE97" s="12">
        <v>0</v>
      </c>
      <c r="BF97" s="12">
        <f>97</f>
        <v>97</v>
      </c>
      <c r="BH97" s="61">
        <f>H97*AO97</f>
        <v>0</v>
      </c>
      <c r="BI97" s="61">
        <f>H97*AP97</f>
        <v>0</v>
      </c>
      <c r="BJ97" s="61">
        <f>H97*I97</f>
        <v>0</v>
      </c>
      <c r="BK97" s="61" t="s">
        <v>414</v>
      </c>
      <c r="BL97" s="12" t="s">
        <v>23</v>
      </c>
    </row>
    <row r="98" spans="1:64" ht="12.75">
      <c r="A98" s="46" t="s">
        <v>174</v>
      </c>
      <c r="B98" s="53" t="s">
        <v>272</v>
      </c>
      <c r="C98" s="162" t="s">
        <v>347</v>
      </c>
      <c r="D98" s="163"/>
      <c r="E98" s="163"/>
      <c r="F98" s="163"/>
      <c r="G98" s="53" t="s">
        <v>352</v>
      </c>
      <c r="H98" s="61">
        <v>1</v>
      </c>
      <c r="I98" s="61">
        <v>0</v>
      </c>
      <c r="J98" s="61">
        <f>H98*AO98</f>
        <v>0</v>
      </c>
      <c r="K98" s="61">
        <f>H98*AP98</f>
        <v>0</v>
      </c>
      <c r="L98" s="61">
        <f>H98*I98</f>
        <v>0</v>
      </c>
      <c r="M98" s="71"/>
      <c r="N98" s="11"/>
      <c r="Z98" s="12">
        <f>IF(AQ98="5",BJ98,0)</f>
        <v>0</v>
      </c>
      <c r="AB98" s="12">
        <f>IF(AQ98="1",BH98,0)</f>
        <v>0</v>
      </c>
      <c r="AC98" s="12">
        <f>IF(AQ98="1",BI98,0)</f>
        <v>0</v>
      </c>
      <c r="AD98" s="12">
        <f>IF(AQ98="7",BH98,0)</f>
        <v>0</v>
      </c>
      <c r="AE98" s="12">
        <f>IF(AQ98="7",BI98,0)</f>
        <v>0</v>
      </c>
      <c r="AF98" s="12">
        <f>IF(AQ98="2",BH98,0)</f>
        <v>0</v>
      </c>
      <c r="AG98" s="12">
        <f>IF(AQ98="2",BI98,0)</f>
        <v>0</v>
      </c>
      <c r="AH98" s="12">
        <f>IF(AQ98="0",BJ98,0)</f>
        <v>0</v>
      </c>
      <c r="AI98" s="73" t="s">
        <v>6</v>
      </c>
      <c r="AJ98" s="61">
        <f>IF(AN98=0,L98,0)</f>
        <v>0</v>
      </c>
      <c r="AK98" s="61">
        <f>IF(AN98=15,L98,0)</f>
        <v>0</v>
      </c>
      <c r="AL98" s="61">
        <f>IF(AN98=21,L98,0)</f>
        <v>0</v>
      </c>
      <c r="AN98" s="12">
        <v>21</v>
      </c>
      <c r="AO98" s="12">
        <f>I98*0</f>
        <v>0</v>
      </c>
      <c r="AP98" s="12">
        <f>I98*(1-0)</f>
        <v>0</v>
      </c>
      <c r="AQ98" s="74" t="s">
        <v>120</v>
      </c>
      <c r="AV98" s="12">
        <f>AW98+AX98</f>
        <v>0</v>
      </c>
      <c r="AW98" s="12">
        <f>H98*AO98</f>
        <v>0</v>
      </c>
      <c r="AX98" s="12">
        <f>H98*AP98</f>
        <v>0</v>
      </c>
      <c r="AY98" s="75" t="s">
        <v>391</v>
      </c>
      <c r="AZ98" s="75" t="s">
        <v>399</v>
      </c>
      <c r="BA98" s="73" t="s">
        <v>408</v>
      </c>
      <c r="BC98" s="12">
        <f>AW98+AX98</f>
        <v>0</v>
      </c>
      <c r="BD98" s="12">
        <f>I98/(100-BE98)*100</f>
        <v>0</v>
      </c>
      <c r="BE98" s="12">
        <v>0</v>
      </c>
      <c r="BF98" s="12">
        <f>98</f>
        <v>98</v>
      </c>
      <c r="BH98" s="61">
        <f>H98*AO98</f>
        <v>0</v>
      </c>
      <c r="BI98" s="61">
        <f>H98*AP98</f>
        <v>0</v>
      </c>
      <c r="BJ98" s="61">
        <f>H98*I98</f>
        <v>0</v>
      </c>
      <c r="BK98" s="61" t="s">
        <v>414</v>
      </c>
      <c r="BL98" s="12" t="s">
        <v>23</v>
      </c>
    </row>
    <row r="99" spans="1:14" ht="12.75">
      <c r="A99" s="11"/>
      <c r="B99" s="54" t="s">
        <v>227</v>
      </c>
      <c r="C99" s="164" t="s">
        <v>417</v>
      </c>
      <c r="D99" s="165"/>
      <c r="E99" s="165"/>
      <c r="F99" s="165"/>
      <c r="G99" s="165"/>
      <c r="H99" s="165"/>
      <c r="I99" s="165"/>
      <c r="J99" s="165"/>
      <c r="K99" s="165"/>
      <c r="L99" s="165"/>
      <c r="M99" s="166"/>
      <c r="N99" s="11"/>
    </row>
    <row r="100" spans="1:14" ht="12.75">
      <c r="A100" s="47"/>
      <c r="B100" s="55"/>
      <c r="C100" s="167" t="s">
        <v>7</v>
      </c>
      <c r="D100" s="168"/>
      <c r="E100" s="168"/>
      <c r="F100" s="168"/>
      <c r="G100" s="59" t="s">
        <v>44</v>
      </c>
      <c r="H100" s="59" t="s">
        <v>44</v>
      </c>
      <c r="I100" s="59" t="s">
        <v>44</v>
      </c>
      <c r="J100" s="79">
        <f>J101+J103+J114+J118+J123+J129+J131+J133+J147+J152+J156+J158+J173+J177+J179</f>
        <v>0</v>
      </c>
      <c r="K100" s="79">
        <f>K101+K103+K114+K118+K123+K129+K131+K133+K147+K152+K156+K158+K173+K177+K179</f>
        <v>0</v>
      </c>
      <c r="L100" s="79">
        <f>L101+L103+L114+L118+L123+L129+L131+L133+L147+L152+L156+L158+L173+L177+L179</f>
        <v>0</v>
      </c>
      <c r="M100" s="72"/>
      <c r="N100" s="11"/>
    </row>
    <row r="101" spans="1:47" ht="12.75">
      <c r="A101" s="45"/>
      <c r="B101" s="52" t="s">
        <v>9</v>
      </c>
      <c r="C101" s="160" t="s">
        <v>25</v>
      </c>
      <c r="D101" s="161"/>
      <c r="E101" s="161"/>
      <c r="F101" s="161"/>
      <c r="G101" s="58" t="s">
        <v>44</v>
      </c>
      <c r="H101" s="58" t="s">
        <v>44</v>
      </c>
      <c r="I101" s="58" t="s">
        <v>44</v>
      </c>
      <c r="J101" s="78">
        <f>SUM(J102:J102)</f>
        <v>0</v>
      </c>
      <c r="K101" s="78">
        <f>SUM(K102:K102)</f>
        <v>0</v>
      </c>
      <c r="L101" s="78">
        <f>SUM(L102:L102)</f>
        <v>0</v>
      </c>
      <c r="M101" s="70"/>
      <c r="N101" s="11"/>
      <c r="AI101" s="73" t="s">
        <v>7</v>
      </c>
      <c r="AS101" s="78">
        <f>SUM(AJ102:AJ102)</f>
        <v>0</v>
      </c>
      <c r="AT101" s="78">
        <f>SUM(AK102:AK102)</f>
        <v>0</v>
      </c>
      <c r="AU101" s="78">
        <f>SUM(AL102:AL102)</f>
        <v>0</v>
      </c>
    </row>
    <row r="102" spans="1:64" ht="12.75">
      <c r="A102" s="46" t="s">
        <v>175</v>
      </c>
      <c r="B102" s="53" t="s">
        <v>225</v>
      </c>
      <c r="C102" s="162" t="s">
        <v>279</v>
      </c>
      <c r="D102" s="163"/>
      <c r="E102" s="163"/>
      <c r="F102" s="163"/>
      <c r="G102" s="53" t="s">
        <v>349</v>
      </c>
      <c r="H102" s="61">
        <v>0.27</v>
      </c>
      <c r="I102" s="61">
        <v>0</v>
      </c>
      <c r="J102" s="61">
        <f>H102*AO102</f>
        <v>0</v>
      </c>
      <c r="K102" s="61">
        <f>H102*AP102</f>
        <v>0</v>
      </c>
      <c r="L102" s="61">
        <f>H102*I102</f>
        <v>0</v>
      </c>
      <c r="M102" s="71" t="s">
        <v>367</v>
      </c>
      <c r="N102" s="11"/>
      <c r="Z102" s="12">
        <f>IF(AQ102="5",BJ102,0)</f>
        <v>0</v>
      </c>
      <c r="AB102" s="12">
        <f>IF(AQ102="1",BH102,0)</f>
        <v>0</v>
      </c>
      <c r="AC102" s="12">
        <f>IF(AQ102="1",BI102,0)</f>
        <v>0</v>
      </c>
      <c r="AD102" s="12">
        <f>IF(AQ102="7",BH102,0)</f>
        <v>0</v>
      </c>
      <c r="AE102" s="12">
        <f>IF(AQ102="7",BI102,0)</f>
        <v>0</v>
      </c>
      <c r="AF102" s="12">
        <f>IF(AQ102="2",BH102,0)</f>
        <v>0</v>
      </c>
      <c r="AG102" s="12">
        <f>IF(AQ102="2",BI102,0)</f>
        <v>0</v>
      </c>
      <c r="AH102" s="12">
        <f>IF(AQ102="0",BJ102,0)</f>
        <v>0</v>
      </c>
      <c r="AI102" s="73" t="s">
        <v>7</v>
      </c>
      <c r="AJ102" s="61">
        <f>IF(AN102=0,L102,0)</f>
        <v>0</v>
      </c>
      <c r="AK102" s="61">
        <f>IF(AN102=15,L102,0)</f>
        <v>0</v>
      </c>
      <c r="AL102" s="61">
        <f>IF(AN102=21,L102,0)</f>
        <v>0</v>
      </c>
      <c r="AN102" s="12">
        <v>21</v>
      </c>
      <c r="AO102" s="12">
        <f>I102*0.406917469016315</f>
        <v>0</v>
      </c>
      <c r="AP102" s="12">
        <f>I102*(1-0.406917469016315)</f>
        <v>0</v>
      </c>
      <c r="AQ102" s="74" t="s">
        <v>119</v>
      </c>
      <c r="AV102" s="12">
        <f>AW102+AX102</f>
        <v>0</v>
      </c>
      <c r="AW102" s="12">
        <f>H102*AO102</f>
        <v>0</v>
      </c>
      <c r="AX102" s="12">
        <f>H102*AP102</f>
        <v>0</v>
      </c>
      <c r="AY102" s="75" t="s">
        <v>377</v>
      </c>
      <c r="AZ102" s="75" t="s">
        <v>400</v>
      </c>
      <c r="BA102" s="73" t="s">
        <v>409</v>
      </c>
      <c r="BC102" s="12">
        <f>AW102+AX102</f>
        <v>0</v>
      </c>
      <c r="BD102" s="12">
        <f>I102/(100-BE102)*100</f>
        <v>0</v>
      </c>
      <c r="BE102" s="12">
        <v>0</v>
      </c>
      <c r="BF102" s="12">
        <f>102</f>
        <v>102</v>
      </c>
      <c r="BH102" s="61">
        <f>H102*AO102</f>
        <v>0</v>
      </c>
      <c r="BI102" s="61">
        <f>H102*AP102</f>
        <v>0</v>
      </c>
      <c r="BJ102" s="61">
        <f>H102*I102</f>
        <v>0</v>
      </c>
      <c r="BK102" s="61" t="s">
        <v>414</v>
      </c>
      <c r="BL102" s="12">
        <v>12</v>
      </c>
    </row>
    <row r="103" spans="1:47" ht="12.75">
      <c r="A103" s="45"/>
      <c r="B103" s="52" t="s">
        <v>10</v>
      </c>
      <c r="C103" s="160" t="s">
        <v>26</v>
      </c>
      <c r="D103" s="161"/>
      <c r="E103" s="161"/>
      <c r="F103" s="161"/>
      <c r="G103" s="58" t="s">
        <v>44</v>
      </c>
      <c r="H103" s="58" t="s">
        <v>44</v>
      </c>
      <c r="I103" s="58" t="s">
        <v>44</v>
      </c>
      <c r="J103" s="78">
        <f>SUM(J104:J112)</f>
        <v>0</v>
      </c>
      <c r="K103" s="78">
        <f>SUM(K104:K112)</f>
        <v>0</v>
      </c>
      <c r="L103" s="78">
        <f>SUM(L104:L112)</f>
        <v>0</v>
      </c>
      <c r="M103" s="70"/>
      <c r="N103" s="11"/>
      <c r="AI103" s="73" t="s">
        <v>7</v>
      </c>
      <c r="AS103" s="78">
        <f>SUM(AJ104:AJ112)</f>
        <v>0</v>
      </c>
      <c r="AT103" s="78">
        <f>SUM(AK104:AK112)</f>
        <v>0</v>
      </c>
      <c r="AU103" s="78">
        <f>SUM(AL104:AL112)</f>
        <v>0</v>
      </c>
    </row>
    <row r="104" spans="1:64" ht="12.75">
      <c r="A104" s="46" t="s">
        <v>176</v>
      </c>
      <c r="B104" s="53" t="s">
        <v>228</v>
      </c>
      <c r="C104" s="162" t="s">
        <v>282</v>
      </c>
      <c r="D104" s="163"/>
      <c r="E104" s="163"/>
      <c r="F104" s="163"/>
      <c r="G104" s="53" t="s">
        <v>349</v>
      </c>
      <c r="H104" s="61">
        <v>5.55</v>
      </c>
      <c r="I104" s="61">
        <v>0</v>
      </c>
      <c r="J104" s="61">
        <f aca="true" t="shared" si="66" ref="J104:J109">H104*AO104</f>
        <v>0</v>
      </c>
      <c r="K104" s="61">
        <f aca="true" t="shared" si="67" ref="K104:K109">H104*AP104</f>
        <v>0</v>
      </c>
      <c r="L104" s="61">
        <f aca="true" t="shared" si="68" ref="L104:L109">H104*I104</f>
        <v>0</v>
      </c>
      <c r="M104" s="71" t="s">
        <v>367</v>
      </c>
      <c r="N104" s="11"/>
      <c r="Z104" s="12">
        <f aca="true" t="shared" si="69" ref="Z104:Z109">IF(AQ104="5",BJ104,0)</f>
        <v>0</v>
      </c>
      <c r="AB104" s="12">
        <f aca="true" t="shared" si="70" ref="AB104:AB109">IF(AQ104="1",BH104,0)</f>
        <v>0</v>
      </c>
      <c r="AC104" s="12">
        <f aca="true" t="shared" si="71" ref="AC104:AC109">IF(AQ104="1",BI104,0)</f>
        <v>0</v>
      </c>
      <c r="AD104" s="12">
        <f aca="true" t="shared" si="72" ref="AD104:AD109">IF(AQ104="7",BH104,0)</f>
        <v>0</v>
      </c>
      <c r="AE104" s="12">
        <f aca="true" t="shared" si="73" ref="AE104:AE109">IF(AQ104="7",BI104,0)</f>
        <v>0</v>
      </c>
      <c r="AF104" s="12">
        <f aca="true" t="shared" si="74" ref="AF104:AF109">IF(AQ104="2",BH104,0)</f>
        <v>0</v>
      </c>
      <c r="AG104" s="12">
        <f aca="true" t="shared" si="75" ref="AG104:AG109">IF(AQ104="2",BI104,0)</f>
        <v>0</v>
      </c>
      <c r="AH104" s="12">
        <f aca="true" t="shared" si="76" ref="AH104:AH109">IF(AQ104="0",BJ104,0)</f>
        <v>0</v>
      </c>
      <c r="AI104" s="73" t="s">
        <v>7</v>
      </c>
      <c r="AJ104" s="61">
        <f aca="true" t="shared" si="77" ref="AJ104:AJ109">IF(AN104=0,L104,0)</f>
        <v>0</v>
      </c>
      <c r="AK104" s="61">
        <f aca="true" t="shared" si="78" ref="AK104:AK109">IF(AN104=15,L104,0)</f>
        <v>0</v>
      </c>
      <c r="AL104" s="61">
        <f aca="true" t="shared" si="79" ref="AL104:AL109">IF(AN104=21,L104,0)</f>
        <v>0</v>
      </c>
      <c r="AN104" s="12">
        <v>21</v>
      </c>
      <c r="AO104" s="12">
        <f>I104*0.392626575281893</f>
        <v>0</v>
      </c>
      <c r="AP104" s="12">
        <f>I104*(1-0.392626575281893)</f>
        <v>0</v>
      </c>
      <c r="AQ104" s="74" t="s">
        <v>119</v>
      </c>
      <c r="AV104" s="12">
        <f aca="true" t="shared" si="80" ref="AV104:AV109">AW104+AX104</f>
        <v>0</v>
      </c>
      <c r="AW104" s="12">
        <f aca="true" t="shared" si="81" ref="AW104:AW109">H104*AO104</f>
        <v>0</v>
      </c>
      <c r="AX104" s="12">
        <f aca="true" t="shared" si="82" ref="AX104:AX109">H104*AP104</f>
        <v>0</v>
      </c>
      <c r="AY104" s="75" t="s">
        <v>378</v>
      </c>
      <c r="AZ104" s="75" t="s">
        <v>401</v>
      </c>
      <c r="BA104" s="73" t="s">
        <v>409</v>
      </c>
      <c r="BC104" s="12">
        <f aca="true" t="shared" si="83" ref="BC104:BC109">AW104+AX104</f>
        <v>0</v>
      </c>
      <c r="BD104" s="12">
        <f aca="true" t="shared" si="84" ref="BD104:BD109">I104/(100-BE104)*100</f>
        <v>0</v>
      </c>
      <c r="BE104" s="12">
        <v>0</v>
      </c>
      <c r="BF104" s="12">
        <f>104</f>
        <v>104</v>
      </c>
      <c r="BH104" s="61">
        <f aca="true" t="shared" si="85" ref="BH104:BH109">H104*AO104</f>
        <v>0</v>
      </c>
      <c r="BI104" s="61">
        <f aca="true" t="shared" si="86" ref="BI104:BI109">H104*AP104</f>
        <v>0</v>
      </c>
      <c r="BJ104" s="61">
        <f aca="true" t="shared" si="87" ref="BJ104:BJ109">H104*I104</f>
        <v>0</v>
      </c>
      <c r="BK104" s="61" t="s">
        <v>414</v>
      </c>
      <c r="BL104" s="12">
        <v>34</v>
      </c>
    </row>
    <row r="105" spans="1:64" ht="12.75">
      <c r="A105" s="46" t="s">
        <v>11</v>
      </c>
      <c r="B105" s="53" t="s">
        <v>229</v>
      </c>
      <c r="C105" s="162" t="s">
        <v>283</v>
      </c>
      <c r="D105" s="163"/>
      <c r="E105" s="163"/>
      <c r="F105" s="163"/>
      <c r="G105" s="53" t="s">
        <v>349</v>
      </c>
      <c r="H105" s="61">
        <v>2.9</v>
      </c>
      <c r="I105" s="61">
        <v>0</v>
      </c>
      <c r="J105" s="61">
        <f t="shared" si="66"/>
        <v>0</v>
      </c>
      <c r="K105" s="61">
        <f t="shared" si="67"/>
        <v>0</v>
      </c>
      <c r="L105" s="61">
        <f t="shared" si="68"/>
        <v>0</v>
      </c>
      <c r="M105" s="71" t="s">
        <v>367</v>
      </c>
      <c r="N105" s="11"/>
      <c r="Z105" s="12">
        <f t="shared" si="69"/>
        <v>0</v>
      </c>
      <c r="AB105" s="12">
        <f t="shared" si="70"/>
        <v>0</v>
      </c>
      <c r="AC105" s="12">
        <f t="shared" si="71"/>
        <v>0</v>
      </c>
      <c r="AD105" s="12">
        <f t="shared" si="72"/>
        <v>0</v>
      </c>
      <c r="AE105" s="12">
        <f t="shared" si="73"/>
        <v>0</v>
      </c>
      <c r="AF105" s="12">
        <f t="shared" si="74"/>
        <v>0</v>
      </c>
      <c r="AG105" s="12">
        <f t="shared" si="75"/>
        <v>0</v>
      </c>
      <c r="AH105" s="12">
        <f t="shared" si="76"/>
        <v>0</v>
      </c>
      <c r="AI105" s="73" t="s">
        <v>7</v>
      </c>
      <c r="AJ105" s="61">
        <f t="shared" si="77"/>
        <v>0</v>
      </c>
      <c r="AK105" s="61">
        <f t="shared" si="78"/>
        <v>0</v>
      </c>
      <c r="AL105" s="61">
        <f t="shared" si="79"/>
        <v>0</v>
      </c>
      <c r="AN105" s="12">
        <v>21</v>
      </c>
      <c r="AO105" s="12">
        <f>I105*0.427347345066009</f>
        <v>0</v>
      </c>
      <c r="AP105" s="12">
        <f>I105*(1-0.427347345066009)</f>
        <v>0</v>
      </c>
      <c r="AQ105" s="74" t="s">
        <v>119</v>
      </c>
      <c r="AV105" s="12">
        <f t="shared" si="80"/>
        <v>0</v>
      </c>
      <c r="AW105" s="12">
        <f t="shared" si="81"/>
        <v>0</v>
      </c>
      <c r="AX105" s="12">
        <f t="shared" si="82"/>
        <v>0</v>
      </c>
      <c r="AY105" s="75" t="s">
        <v>378</v>
      </c>
      <c r="AZ105" s="75" t="s">
        <v>401</v>
      </c>
      <c r="BA105" s="73" t="s">
        <v>409</v>
      </c>
      <c r="BC105" s="12">
        <f t="shared" si="83"/>
        <v>0</v>
      </c>
      <c r="BD105" s="12">
        <f t="shared" si="84"/>
        <v>0</v>
      </c>
      <c r="BE105" s="12">
        <v>0</v>
      </c>
      <c r="BF105" s="12">
        <f>105</f>
        <v>105</v>
      </c>
      <c r="BH105" s="61">
        <f t="shared" si="85"/>
        <v>0</v>
      </c>
      <c r="BI105" s="61">
        <f t="shared" si="86"/>
        <v>0</v>
      </c>
      <c r="BJ105" s="61">
        <f t="shared" si="87"/>
        <v>0</v>
      </c>
      <c r="BK105" s="61" t="s">
        <v>414</v>
      </c>
      <c r="BL105" s="12">
        <v>34</v>
      </c>
    </row>
    <row r="106" spans="1:64" ht="12.75">
      <c r="A106" s="46" t="s">
        <v>177</v>
      </c>
      <c r="B106" s="53" t="s">
        <v>230</v>
      </c>
      <c r="C106" s="162" t="s">
        <v>284</v>
      </c>
      <c r="D106" s="163"/>
      <c r="E106" s="163"/>
      <c r="F106" s="163"/>
      <c r="G106" s="53" t="s">
        <v>350</v>
      </c>
      <c r="H106" s="61">
        <v>1</v>
      </c>
      <c r="I106" s="61">
        <v>0</v>
      </c>
      <c r="J106" s="61">
        <f t="shared" si="66"/>
        <v>0</v>
      </c>
      <c r="K106" s="61">
        <f t="shared" si="67"/>
        <v>0</v>
      </c>
      <c r="L106" s="61">
        <f t="shared" si="68"/>
        <v>0</v>
      </c>
      <c r="M106" s="71" t="s">
        <v>367</v>
      </c>
      <c r="N106" s="11"/>
      <c r="Z106" s="12">
        <f t="shared" si="69"/>
        <v>0</v>
      </c>
      <c r="AB106" s="12">
        <f t="shared" si="70"/>
        <v>0</v>
      </c>
      <c r="AC106" s="12">
        <f t="shared" si="71"/>
        <v>0</v>
      </c>
      <c r="AD106" s="12">
        <f t="shared" si="72"/>
        <v>0</v>
      </c>
      <c r="AE106" s="12">
        <f t="shared" si="73"/>
        <v>0</v>
      </c>
      <c r="AF106" s="12">
        <f t="shared" si="74"/>
        <v>0</v>
      </c>
      <c r="AG106" s="12">
        <f t="shared" si="75"/>
        <v>0</v>
      </c>
      <c r="AH106" s="12">
        <f t="shared" si="76"/>
        <v>0</v>
      </c>
      <c r="AI106" s="73" t="s">
        <v>7</v>
      </c>
      <c r="AJ106" s="61">
        <f t="shared" si="77"/>
        <v>0</v>
      </c>
      <c r="AK106" s="61">
        <f t="shared" si="78"/>
        <v>0</v>
      </c>
      <c r="AL106" s="61">
        <f t="shared" si="79"/>
        <v>0</v>
      </c>
      <c r="AN106" s="12">
        <v>21</v>
      </c>
      <c r="AO106" s="12">
        <f>I106*0.557289636846767</f>
        <v>0</v>
      </c>
      <c r="AP106" s="12">
        <f>I106*(1-0.557289636846767)</f>
        <v>0</v>
      </c>
      <c r="AQ106" s="74" t="s">
        <v>119</v>
      </c>
      <c r="AV106" s="12">
        <f t="shared" si="80"/>
        <v>0</v>
      </c>
      <c r="AW106" s="12">
        <f t="shared" si="81"/>
        <v>0</v>
      </c>
      <c r="AX106" s="12">
        <f t="shared" si="82"/>
        <v>0</v>
      </c>
      <c r="AY106" s="75" t="s">
        <v>378</v>
      </c>
      <c r="AZ106" s="75" t="s">
        <v>401</v>
      </c>
      <c r="BA106" s="73" t="s">
        <v>409</v>
      </c>
      <c r="BC106" s="12">
        <f t="shared" si="83"/>
        <v>0</v>
      </c>
      <c r="BD106" s="12">
        <f t="shared" si="84"/>
        <v>0</v>
      </c>
      <c r="BE106" s="12">
        <v>0</v>
      </c>
      <c r="BF106" s="12">
        <f>106</f>
        <v>106</v>
      </c>
      <c r="BH106" s="61">
        <f t="shared" si="85"/>
        <v>0</v>
      </c>
      <c r="BI106" s="61">
        <f t="shared" si="86"/>
        <v>0</v>
      </c>
      <c r="BJ106" s="61">
        <f t="shared" si="87"/>
        <v>0</v>
      </c>
      <c r="BK106" s="61" t="s">
        <v>414</v>
      </c>
      <c r="BL106" s="12">
        <v>34</v>
      </c>
    </row>
    <row r="107" spans="1:64" ht="12.75">
      <c r="A107" s="46" t="s">
        <v>12</v>
      </c>
      <c r="B107" s="53" t="s">
        <v>231</v>
      </c>
      <c r="C107" s="162" t="s">
        <v>285</v>
      </c>
      <c r="D107" s="163"/>
      <c r="E107" s="163"/>
      <c r="F107" s="163"/>
      <c r="G107" s="53" t="s">
        <v>349</v>
      </c>
      <c r="H107" s="61">
        <v>1.2</v>
      </c>
      <c r="I107" s="61">
        <v>0</v>
      </c>
      <c r="J107" s="61">
        <f t="shared" si="66"/>
        <v>0</v>
      </c>
      <c r="K107" s="61">
        <f t="shared" si="67"/>
        <v>0</v>
      </c>
      <c r="L107" s="61">
        <f t="shared" si="68"/>
        <v>0</v>
      </c>
      <c r="M107" s="71" t="s">
        <v>367</v>
      </c>
      <c r="N107" s="11"/>
      <c r="Z107" s="12">
        <f t="shared" si="69"/>
        <v>0</v>
      </c>
      <c r="AB107" s="12">
        <f t="shared" si="70"/>
        <v>0</v>
      </c>
      <c r="AC107" s="12">
        <f t="shared" si="71"/>
        <v>0</v>
      </c>
      <c r="AD107" s="12">
        <f t="shared" si="72"/>
        <v>0</v>
      </c>
      <c r="AE107" s="12">
        <f t="shared" si="73"/>
        <v>0</v>
      </c>
      <c r="AF107" s="12">
        <f t="shared" si="74"/>
        <v>0</v>
      </c>
      <c r="AG107" s="12">
        <f t="shared" si="75"/>
        <v>0</v>
      </c>
      <c r="AH107" s="12">
        <f t="shared" si="76"/>
        <v>0</v>
      </c>
      <c r="AI107" s="73" t="s">
        <v>7</v>
      </c>
      <c r="AJ107" s="61">
        <f t="shared" si="77"/>
        <v>0</v>
      </c>
      <c r="AK107" s="61">
        <f t="shared" si="78"/>
        <v>0</v>
      </c>
      <c r="AL107" s="61">
        <f t="shared" si="79"/>
        <v>0</v>
      </c>
      <c r="AN107" s="12">
        <v>21</v>
      </c>
      <c r="AO107" s="12">
        <f>I107*0.479813890369796</f>
        <v>0</v>
      </c>
      <c r="AP107" s="12">
        <f>I107*(1-0.479813890369796)</f>
        <v>0</v>
      </c>
      <c r="AQ107" s="74" t="s">
        <v>119</v>
      </c>
      <c r="AV107" s="12">
        <f t="shared" si="80"/>
        <v>0</v>
      </c>
      <c r="AW107" s="12">
        <f t="shared" si="81"/>
        <v>0</v>
      </c>
      <c r="AX107" s="12">
        <f t="shared" si="82"/>
        <v>0</v>
      </c>
      <c r="AY107" s="75" t="s">
        <v>378</v>
      </c>
      <c r="AZ107" s="75" t="s">
        <v>401</v>
      </c>
      <c r="BA107" s="73" t="s">
        <v>409</v>
      </c>
      <c r="BC107" s="12">
        <f t="shared" si="83"/>
        <v>0</v>
      </c>
      <c r="BD107" s="12">
        <f t="shared" si="84"/>
        <v>0</v>
      </c>
      <c r="BE107" s="12">
        <v>0</v>
      </c>
      <c r="BF107" s="12">
        <f>107</f>
        <v>107</v>
      </c>
      <c r="BH107" s="61">
        <f t="shared" si="85"/>
        <v>0</v>
      </c>
      <c r="BI107" s="61">
        <f t="shared" si="86"/>
        <v>0</v>
      </c>
      <c r="BJ107" s="61">
        <f t="shared" si="87"/>
        <v>0</v>
      </c>
      <c r="BK107" s="61" t="s">
        <v>414</v>
      </c>
      <c r="BL107" s="12">
        <v>34</v>
      </c>
    </row>
    <row r="108" spans="1:64" ht="12.75">
      <c r="A108" s="46" t="s">
        <v>178</v>
      </c>
      <c r="B108" s="53" t="s">
        <v>232</v>
      </c>
      <c r="C108" s="162" t="s">
        <v>286</v>
      </c>
      <c r="D108" s="163"/>
      <c r="E108" s="163"/>
      <c r="F108" s="163"/>
      <c r="G108" s="53" t="s">
        <v>350</v>
      </c>
      <c r="H108" s="61">
        <v>1</v>
      </c>
      <c r="I108" s="61">
        <v>0</v>
      </c>
      <c r="J108" s="61">
        <f t="shared" si="66"/>
        <v>0</v>
      </c>
      <c r="K108" s="61">
        <f t="shared" si="67"/>
        <v>0</v>
      </c>
      <c r="L108" s="61">
        <f t="shared" si="68"/>
        <v>0</v>
      </c>
      <c r="M108" s="71" t="s">
        <v>367</v>
      </c>
      <c r="N108" s="11"/>
      <c r="Z108" s="12">
        <f t="shared" si="69"/>
        <v>0</v>
      </c>
      <c r="AB108" s="12">
        <f t="shared" si="70"/>
        <v>0</v>
      </c>
      <c r="AC108" s="12">
        <f t="shared" si="71"/>
        <v>0</v>
      </c>
      <c r="AD108" s="12">
        <f t="shared" si="72"/>
        <v>0</v>
      </c>
      <c r="AE108" s="12">
        <f t="shared" si="73"/>
        <v>0</v>
      </c>
      <c r="AF108" s="12">
        <f t="shared" si="74"/>
        <v>0</v>
      </c>
      <c r="AG108" s="12">
        <f t="shared" si="75"/>
        <v>0</v>
      </c>
      <c r="AH108" s="12">
        <f t="shared" si="76"/>
        <v>0</v>
      </c>
      <c r="AI108" s="73" t="s">
        <v>7</v>
      </c>
      <c r="AJ108" s="61">
        <f t="shared" si="77"/>
        <v>0</v>
      </c>
      <c r="AK108" s="61">
        <f t="shared" si="78"/>
        <v>0</v>
      </c>
      <c r="AL108" s="61">
        <f t="shared" si="79"/>
        <v>0</v>
      </c>
      <c r="AN108" s="12">
        <v>21</v>
      </c>
      <c r="AO108" s="12">
        <f>I108*0.566672216588211</f>
        <v>0</v>
      </c>
      <c r="AP108" s="12">
        <f>I108*(1-0.566672216588211)</f>
        <v>0</v>
      </c>
      <c r="AQ108" s="74" t="s">
        <v>119</v>
      </c>
      <c r="AV108" s="12">
        <f t="shared" si="80"/>
        <v>0</v>
      </c>
      <c r="AW108" s="12">
        <f t="shared" si="81"/>
        <v>0</v>
      </c>
      <c r="AX108" s="12">
        <f t="shared" si="82"/>
        <v>0</v>
      </c>
      <c r="AY108" s="75" t="s">
        <v>378</v>
      </c>
      <c r="AZ108" s="75" t="s">
        <v>401</v>
      </c>
      <c r="BA108" s="73" t="s">
        <v>409</v>
      </c>
      <c r="BC108" s="12">
        <f t="shared" si="83"/>
        <v>0</v>
      </c>
      <c r="BD108" s="12">
        <f t="shared" si="84"/>
        <v>0</v>
      </c>
      <c r="BE108" s="12">
        <v>0</v>
      </c>
      <c r="BF108" s="12">
        <f>108</f>
        <v>108</v>
      </c>
      <c r="BH108" s="61">
        <f t="shared" si="85"/>
        <v>0</v>
      </c>
      <c r="BI108" s="61">
        <f t="shared" si="86"/>
        <v>0</v>
      </c>
      <c r="BJ108" s="61">
        <f t="shared" si="87"/>
        <v>0</v>
      </c>
      <c r="BK108" s="61" t="s">
        <v>414</v>
      </c>
      <c r="BL108" s="12">
        <v>34</v>
      </c>
    </row>
    <row r="109" spans="1:64" ht="12.75">
      <c r="A109" s="46" t="s">
        <v>179</v>
      </c>
      <c r="B109" s="53" t="s">
        <v>233</v>
      </c>
      <c r="C109" s="162" t="s">
        <v>287</v>
      </c>
      <c r="D109" s="163"/>
      <c r="E109" s="163"/>
      <c r="F109" s="163"/>
      <c r="G109" s="53" t="s">
        <v>351</v>
      </c>
      <c r="H109" s="61">
        <v>0.045</v>
      </c>
      <c r="I109" s="61">
        <v>0</v>
      </c>
      <c r="J109" s="61">
        <f t="shared" si="66"/>
        <v>0</v>
      </c>
      <c r="K109" s="61">
        <f t="shared" si="67"/>
        <v>0</v>
      </c>
      <c r="L109" s="61">
        <f t="shared" si="68"/>
        <v>0</v>
      </c>
      <c r="M109" s="71" t="s">
        <v>367</v>
      </c>
      <c r="N109" s="11"/>
      <c r="Z109" s="12">
        <f t="shared" si="69"/>
        <v>0</v>
      </c>
      <c r="AB109" s="12">
        <f t="shared" si="70"/>
        <v>0</v>
      </c>
      <c r="AC109" s="12">
        <f t="shared" si="71"/>
        <v>0</v>
      </c>
      <c r="AD109" s="12">
        <f t="shared" si="72"/>
        <v>0</v>
      </c>
      <c r="AE109" s="12">
        <f t="shared" si="73"/>
        <v>0</v>
      </c>
      <c r="AF109" s="12">
        <f t="shared" si="74"/>
        <v>0</v>
      </c>
      <c r="AG109" s="12">
        <f t="shared" si="75"/>
        <v>0</v>
      </c>
      <c r="AH109" s="12">
        <f t="shared" si="76"/>
        <v>0</v>
      </c>
      <c r="AI109" s="73" t="s">
        <v>7</v>
      </c>
      <c r="AJ109" s="61">
        <f t="shared" si="77"/>
        <v>0</v>
      </c>
      <c r="AK109" s="61">
        <f t="shared" si="78"/>
        <v>0</v>
      </c>
      <c r="AL109" s="61">
        <f t="shared" si="79"/>
        <v>0</v>
      </c>
      <c r="AN109" s="12">
        <v>21</v>
      </c>
      <c r="AO109" s="12">
        <f>I109*0.425629658153632</f>
        <v>0</v>
      </c>
      <c r="AP109" s="12">
        <f>I109*(1-0.425629658153632)</f>
        <v>0</v>
      </c>
      <c r="AQ109" s="74" t="s">
        <v>119</v>
      </c>
      <c r="AV109" s="12">
        <f t="shared" si="80"/>
        <v>0</v>
      </c>
      <c r="AW109" s="12">
        <f t="shared" si="81"/>
        <v>0</v>
      </c>
      <c r="AX109" s="12">
        <f t="shared" si="82"/>
        <v>0</v>
      </c>
      <c r="AY109" s="75" t="s">
        <v>378</v>
      </c>
      <c r="AZ109" s="75" t="s">
        <v>401</v>
      </c>
      <c r="BA109" s="73" t="s">
        <v>409</v>
      </c>
      <c r="BC109" s="12">
        <f t="shared" si="83"/>
        <v>0</v>
      </c>
      <c r="BD109" s="12">
        <f t="shared" si="84"/>
        <v>0</v>
      </c>
      <c r="BE109" s="12">
        <v>0</v>
      </c>
      <c r="BF109" s="12">
        <f>109</f>
        <v>109</v>
      </c>
      <c r="BH109" s="61">
        <f t="shared" si="85"/>
        <v>0</v>
      </c>
      <c r="BI109" s="61">
        <f t="shared" si="86"/>
        <v>0</v>
      </c>
      <c r="BJ109" s="61">
        <f t="shared" si="87"/>
        <v>0</v>
      </c>
      <c r="BK109" s="61" t="s">
        <v>414</v>
      </c>
      <c r="BL109" s="12">
        <v>34</v>
      </c>
    </row>
    <row r="110" spans="1:14" ht="12.75">
      <c r="A110" s="11"/>
      <c r="B110" s="54" t="s">
        <v>227</v>
      </c>
      <c r="C110" s="164" t="s">
        <v>288</v>
      </c>
      <c r="D110" s="165"/>
      <c r="E110" s="165"/>
      <c r="F110" s="165"/>
      <c r="G110" s="165"/>
      <c r="H110" s="165"/>
      <c r="I110" s="165"/>
      <c r="J110" s="165"/>
      <c r="K110" s="165"/>
      <c r="L110" s="165"/>
      <c r="M110" s="166"/>
      <c r="N110" s="11"/>
    </row>
    <row r="111" spans="1:64" ht="12.75">
      <c r="A111" s="46" t="s">
        <v>180</v>
      </c>
      <c r="B111" s="53" t="s">
        <v>233</v>
      </c>
      <c r="C111" s="162" t="s">
        <v>289</v>
      </c>
      <c r="D111" s="163"/>
      <c r="E111" s="163"/>
      <c r="F111" s="163"/>
      <c r="G111" s="53" t="s">
        <v>352</v>
      </c>
      <c r="H111" s="61">
        <v>1</v>
      </c>
      <c r="I111" s="61">
        <v>0</v>
      </c>
      <c r="J111" s="61">
        <f>H111*AO111</f>
        <v>0</v>
      </c>
      <c r="K111" s="61">
        <f>H111*AP111</f>
        <v>0</v>
      </c>
      <c r="L111" s="61">
        <f>H111*I111</f>
        <v>0</v>
      </c>
      <c r="M111" s="71" t="s">
        <v>367</v>
      </c>
      <c r="N111" s="11"/>
      <c r="Z111" s="12">
        <f>IF(AQ111="5",BJ111,0)</f>
        <v>0</v>
      </c>
      <c r="AB111" s="12">
        <f>IF(AQ111="1",BH111,0)</f>
        <v>0</v>
      </c>
      <c r="AC111" s="12">
        <f>IF(AQ111="1",BI111,0)</f>
        <v>0</v>
      </c>
      <c r="AD111" s="12">
        <f>IF(AQ111="7",BH111,0)</f>
        <v>0</v>
      </c>
      <c r="AE111" s="12">
        <f>IF(AQ111="7",BI111,0)</f>
        <v>0</v>
      </c>
      <c r="AF111" s="12">
        <f>IF(AQ111="2",BH111,0)</f>
        <v>0</v>
      </c>
      <c r="AG111" s="12">
        <f>IF(AQ111="2",BI111,0)</f>
        <v>0</v>
      </c>
      <c r="AH111" s="12">
        <f>IF(AQ111="0",BJ111,0)</f>
        <v>0</v>
      </c>
      <c r="AI111" s="73" t="s">
        <v>7</v>
      </c>
      <c r="AJ111" s="61">
        <f>IF(AN111=0,L111,0)</f>
        <v>0</v>
      </c>
      <c r="AK111" s="61">
        <f>IF(AN111=15,L111,0)</f>
        <v>0</v>
      </c>
      <c r="AL111" s="61">
        <f>IF(AN111=21,L111,0)</f>
        <v>0</v>
      </c>
      <c r="AN111" s="12">
        <v>21</v>
      </c>
      <c r="AO111" s="12">
        <f>I111*0.425628571428571</f>
        <v>0</v>
      </c>
      <c r="AP111" s="12">
        <f>I111*(1-0.425628571428571)</f>
        <v>0</v>
      </c>
      <c r="AQ111" s="74" t="s">
        <v>119</v>
      </c>
      <c r="AV111" s="12">
        <f>AW111+AX111</f>
        <v>0</v>
      </c>
      <c r="AW111" s="12">
        <f>H111*AO111</f>
        <v>0</v>
      </c>
      <c r="AX111" s="12">
        <f>H111*AP111</f>
        <v>0</v>
      </c>
      <c r="AY111" s="75" t="s">
        <v>378</v>
      </c>
      <c r="AZ111" s="75" t="s">
        <v>401</v>
      </c>
      <c r="BA111" s="73" t="s">
        <v>409</v>
      </c>
      <c r="BC111" s="12">
        <f>AW111+AX111</f>
        <v>0</v>
      </c>
      <c r="BD111" s="12">
        <f>I111/(100-BE111)*100</f>
        <v>0</v>
      </c>
      <c r="BE111" s="12">
        <v>0</v>
      </c>
      <c r="BF111" s="12">
        <f>111</f>
        <v>111</v>
      </c>
      <c r="BH111" s="61">
        <f>H111*AO111</f>
        <v>0</v>
      </c>
      <c r="BI111" s="61">
        <f>H111*AP111</f>
        <v>0</v>
      </c>
      <c r="BJ111" s="61">
        <f>H111*I111</f>
        <v>0</v>
      </c>
      <c r="BK111" s="61" t="s">
        <v>414</v>
      </c>
      <c r="BL111" s="12">
        <v>34</v>
      </c>
    </row>
    <row r="112" spans="1:64" ht="12.75">
      <c r="A112" s="46" t="s">
        <v>181</v>
      </c>
      <c r="B112" s="53" t="s">
        <v>234</v>
      </c>
      <c r="C112" s="162" t="s">
        <v>290</v>
      </c>
      <c r="D112" s="163"/>
      <c r="E112" s="163"/>
      <c r="F112" s="163"/>
      <c r="G112" s="53" t="s">
        <v>353</v>
      </c>
      <c r="H112" s="61">
        <v>2.6</v>
      </c>
      <c r="I112" s="61">
        <v>0</v>
      </c>
      <c r="J112" s="61">
        <f>H112*AO112</f>
        <v>0</v>
      </c>
      <c r="K112" s="61">
        <f>H112*AP112</f>
        <v>0</v>
      </c>
      <c r="L112" s="61">
        <f>H112*I112</f>
        <v>0</v>
      </c>
      <c r="M112" s="71"/>
      <c r="N112" s="11"/>
      <c r="Z112" s="12">
        <f>IF(AQ112="5",BJ112,0)</f>
        <v>0</v>
      </c>
      <c r="AB112" s="12">
        <f>IF(AQ112="1",BH112,0)</f>
        <v>0</v>
      </c>
      <c r="AC112" s="12">
        <f>IF(AQ112="1",BI112,0)</f>
        <v>0</v>
      </c>
      <c r="AD112" s="12">
        <f>IF(AQ112="7",BH112,0)</f>
        <v>0</v>
      </c>
      <c r="AE112" s="12">
        <f>IF(AQ112="7",BI112,0)</f>
        <v>0</v>
      </c>
      <c r="AF112" s="12">
        <f>IF(AQ112="2",BH112,0)</f>
        <v>0</v>
      </c>
      <c r="AG112" s="12">
        <f>IF(AQ112="2",BI112,0)</f>
        <v>0</v>
      </c>
      <c r="AH112" s="12">
        <f>IF(AQ112="0",BJ112,0)</f>
        <v>0</v>
      </c>
      <c r="AI112" s="73" t="s">
        <v>7</v>
      </c>
      <c r="AJ112" s="61">
        <f>IF(AN112=0,L112,0)</f>
        <v>0</v>
      </c>
      <c r="AK112" s="61">
        <f>IF(AN112=15,L112,0)</f>
        <v>0</v>
      </c>
      <c r="AL112" s="61">
        <f>IF(AN112=21,L112,0)</f>
        <v>0</v>
      </c>
      <c r="AN112" s="12">
        <v>21</v>
      </c>
      <c r="AO112" s="12">
        <f>I112*0</f>
        <v>0</v>
      </c>
      <c r="AP112" s="12">
        <f>I112*(1-0)</f>
        <v>0</v>
      </c>
      <c r="AQ112" s="74" t="s">
        <v>119</v>
      </c>
      <c r="AV112" s="12">
        <f>AW112+AX112</f>
        <v>0</v>
      </c>
      <c r="AW112" s="12">
        <f>H112*AO112</f>
        <v>0</v>
      </c>
      <c r="AX112" s="12">
        <f>H112*AP112</f>
        <v>0</v>
      </c>
      <c r="AY112" s="75" t="s">
        <v>378</v>
      </c>
      <c r="AZ112" s="75" t="s">
        <v>401</v>
      </c>
      <c r="BA112" s="73" t="s">
        <v>409</v>
      </c>
      <c r="BC112" s="12">
        <f>AW112+AX112</f>
        <v>0</v>
      </c>
      <c r="BD112" s="12">
        <f>I112/(100-BE112)*100</f>
        <v>0</v>
      </c>
      <c r="BE112" s="12">
        <v>0</v>
      </c>
      <c r="BF112" s="12">
        <f>112</f>
        <v>112</v>
      </c>
      <c r="BH112" s="61">
        <f>H112*AO112</f>
        <v>0</v>
      </c>
      <c r="BI112" s="61">
        <f>H112*AP112</f>
        <v>0</v>
      </c>
      <c r="BJ112" s="61">
        <f>H112*I112</f>
        <v>0</v>
      </c>
      <c r="BK112" s="61" t="s">
        <v>414</v>
      </c>
      <c r="BL112" s="12">
        <v>34</v>
      </c>
    </row>
    <row r="113" spans="1:14" ht="12.75">
      <c r="A113" s="11"/>
      <c r="B113" s="54" t="s">
        <v>227</v>
      </c>
      <c r="C113" s="164" t="s">
        <v>291</v>
      </c>
      <c r="D113" s="165"/>
      <c r="E113" s="165"/>
      <c r="F113" s="165"/>
      <c r="G113" s="165"/>
      <c r="H113" s="165"/>
      <c r="I113" s="165"/>
      <c r="J113" s="165"/>
      <c r="K113" s="165"/>
      <c r="L113" s="165"/>
      <c r="M113" s="166"/>
      <c r="N113" s="11"/>
    </row>
    <row r="114" spans="1:47" ht="12.75">
      <c r="A114" s="45"/>
      <c r="B114" s="52" t="s">
        <v>11</v>
      </c>
      <c r="C114" s="160" t="s">
        <v>27</v>
      </c>
      <c r="D114" s="161"/>
      <c r="E114" s="161"/>
      <c r="F114" s="161"/>
      <c r="G114" s="58" t="s">
        <v>44</v>
      </c>
      <c r="H114" s="58" t="s">
        <v>44</v>
      </c>
      <c r="I114" s="58" t="s">
        <v>44</v>
      </c>
      <c r="J114" s="78">
        <f>SUM(J115:J117)</f>
        <v>0</v>
      </c>
      <c r="K114" s="78">
        <f>SUM(K115:K117)</f>
        <v>0</v>
      </c>
      <c r="L114" s="78">
        <f>SUM(L115:L117)</f>
        <v>0</v>
      </c>
      <c r="M114" s="70"/>
      <c r="N114" s="11"/>
      <c r="AI114" s="73" t="s">
        <v>7</v>
      </c>
      <c r="AS114" s="78">
        <f>SUM(AJ115:AJ117)</f>
        <v>0</v>
      </c>
      <c r="AT114" s="78">
        <f>SUM(AK115:AK117)</f>
        <v>0</v>
      </c>
      <c r="AU114" s="78">
        <f>SUM(AL115:AL117)</f>
        <v>0</v>
      </c>
    </row>
    <row r="115" spans="1:64" ht="12.75">
      <c r="A115" s="46" t="s">
        <v>182</v>
      </c>
      <c r="B115" s="53" t="s">
        <v>235</v>
      </c>
      <c r="C115" s="162" t="s">
        <v>292</v>
      </c>
      <c r="D115" s="163"/>
      <c r="E115" s="163"/>
      <c r="F115" s="163"/>
      <c r="G115" s="53" t="s">
        <v>349</v>
      </c>
      <c r="H115" s="61">
        <v>42.117</v>
      </c>
      <c r="I115" s="61">
        <v>0</v>
      </c>
      <c r="J115" s="61">
        <f>H115*AO115</f>
        <v>0</v>
      </c>
      <c r="K115" s="61">
        <f>H115*AP115</f>
        <v>0</v>
      </c>
      <c r="L115" s="61">
        <f>H115*I115</f>
        <v>0</v>
      </c>
      <c r="M115" s="71" t="s">
        <v>367</v>
      </c>
      <c r="N115" s="11"/>
      <c r="Z115" s="12">
        <f>IF(AQ115="5",BJ115,0)</f>
        <v>0</v>
      </c>
      <c r="AB115" s="12">
        <f>IF(AQ115="1",BH115,0)</f>
        <v>0</v>
      </c>
      <c r="AC115" s="12">
        <f>IF(AQ115="1",BI115,0)</f>
        <v>0</v>
      </c>
      <c r="AD115" s="12">
        <f>IF(AQ115="7",BH115,0)</f>
        <v>0</v>
      </c>
      <c r="AE115" s="12">
        <f>IF(AQ115="7",BI115,0)</f>
        <v>0</v>
      </c>
      <c r="AF115" s="12">
        <f>IF(AQ115="2",BH115,0)</f>
        <v>0</v>
      </c>
      <c r="AG115" s="12">
        <f>IF(AQ115="2",BI115,0)</f>
        <v>0</v>
      </c>
      <c r="AH115" s="12">
        <f>IF(AQ115="0",BJ115,0)</f>
        <v>0</v>
      </c>
      <c r="AI115" s="73" t="s">
        <v>7</v>
      </c>
      <c r="AJ115" s="61">
        <f>IF(AN115=0,L115,0)</f>
        <v>0</v>
      </c>
      <c r="AK115" s="61">
        <f>IF(AN115=15,L115,0)</f>
        <v>0</v>
      </c>
      <c r="AL115" s="61">
        <f>IF(AN115=21,L115,0)</f>
        <v>0</v>
      </c>
      <c r="AN115" s="12">
        <v>21</v>
      </c>
      <c r="AO115" s="12">
        <f>I115*0.0142112229256509</f>
        <v>0</v>
      </c>
      <c r="AP115" s="12">
        <f>I115*(1-0.0142112229256509)</f>
        <v>0</v>
      </c>
      <c r="AQ115" s="74" t="s">
        <v>119</v>
      </c>
      <c r="AV115" s="12">
        <f>AW115+AX115</f>
        <v>0</v>
      </c>
      <c r="AW115" s="12">
        <f>H115*AO115</f>
        <v>0</v>
      </c>
      <c r="AX115" s="12">
        <f>H115*AP115</f>
        <v>0</v>
      </c>
      <c r="AY115" s="75" t="s">
        <v>379</v>
      </c>
      <c r="AZ115" s="75" t="s">
        <v>402</v>
      </c>
      <c r="BA115" s="73" t="s">
        <v>409</v>
      </c>
      <c r="BC115" s="12">
        <f>AW115+AX115</f>
        <v>0</v>
      </c>
      <c r="BD115" s="12">
        <f>I115/(100-BE115)*100</f>
        <v>0</v>
      </c>
      <c r="BE115" s="12">
        <v>0</v>
      </c>
      <c r="BF115" s="12">
        <f>115</f>
        <v>115</v>
      </c>
      <c r="BH115" s="61">
        <f>H115*AO115</f>
        <v>0</v>
      </c>
      <c r="BI115" s="61">
        <f>H115*AP115</f>
        <v>0</v>
      </c>
      <c r="BJ115" s="61">
        <f>H115*I115</f>
        <v>0</v>
      </c>
      <c r="BK115" s="61" t="s">
        <v>414</v>
      </c>
      <c r="BL115" s="12">
        <v>61</v>
      </c>
    </row>
    <row r="116" spans="1:64" ht="12.75">
      <c r="A116" s="46" t="s">
        <v>183</v>
      </c>
      <c r="B116" s="53" t="s">
        <v>236</v>
      </c>
      <c r="C116" s="162" t="s">
        <v>293</v>
      </c>
      <c r="D116" s="163"/>
      <c r="E116" s="163"/>
      <c r="F116" s="163"/>
      <c r="G116" s="53" t="s">
        <v>349</v>
      </c>
      <c r="H116" s="61">
        <v>16.2465</v>
      </c>
      <c r="I116" s="61">
        <v>0</v>
      </c>
      <c r="J116" s="61">
        <f>H116*AO116</f>
        <v>0</v>
      </c>
      <c r="K116" s="61">
        <f>H116*AP116</f>
        <v>0</v>
      </c>
      <c r="L116" s="61">
        <f>H116*I116</f>
        <v>0</v>
      </c>
      <c r="M116" s="71" t="s">
        <v>367</v>
      </c>
      <c r="N116" s="11"/>
      <c r="Z116" s="12">
        <f>IF(AQ116="5",BJ116,0)</f>
        <v>0</v>
      </c>
      <c r="AB116" s="12">
        <f>IF(AQ116="1",BH116,0)</f>
        <v>0</v>
      </c>
      <c r="AC116" s="12">
        <f>IF(AQ116="1",BI116,0)</f>
        <v>0</v>
      </c>
      <c r="AD116" s="12">
        <f>IF(AQ116="7",BH116,0)</f>
        <v>0</v>
      </c>
      <c r="AE116" s="12">
        <f>IF(AQ116="7",BI116,0)</f>
        <v>0</v>
      </c>
      <c r="AF116" s="12">
        <f>IF(AQ116="2",BH116,0)</f>
        <v>0</v>
      </c>
      <c r="AG116" s="12">
        <f>IF(AQ116="2",BI116,0)</f>
        <v>0</v>
      </c>
      <c r="AH116" s="12">
        <f>IF(AQ116="0",BJ116,0)</f>
        <v>0</v>
      </c>
      <c r="AI116" s="73" t="s">
        <v>7</v>
      </c>
      <c r="AJ116" s="61">
        <f>IF(AN116=0,L116,0)</f>
        <v>0</v>
      </c>
      <c r="AK116" s="61">
        <f>IF(AN116=15,L116,0)</f>
        <v>0</v>
      </c>
      <c r="AL116" s="61">
        <f>IF(AN116=21,L116,0)</f>
        <v>0</v>
      </c>
      <c r="AN116" s="12">
        <v>21</v>
      </c>
      <c r="AO116" s="12">
        <f>I116*0.318889979345908</f>
        <v>0</v>
      </c>
      <c r="AP116" s="12">
        <f>I116*(1-0.318889979345908)</f>
        <v>0</v>
      </c>
      <c r="AQ116" s="74" t="s">
        <v>119</v>
      </c>
      <c r="AV116" s="12">
        <f>AW116+AX116</f>
        <v>0</v>
      </c>
      <c r="AW116" s="12">
        <f>H116*AO116</f>
        <v>0</v>
      </c>
      <c r="AX116" s="12">
        <f>H116*AP116</f>
        <v>0</v>
      </c>
      <c r="AY116" s="75" t="s">
        <v>379</v>
      </c>
      <c r="AZ116" s="75" t="s">
        <v>402</v>
      </c>
      <c r="BA116" s="73" t="s">
        <v>409</v>
      </c>
      <c r="BC116" s="12">
        <f>AW116+AX116</f>
        <v>0</v>
      </c>
      <c r="BD116" s="12">
        <f>I116/(100-BE116)*100</f>
        <v>0</v>
      </c>
      <c r="BE116" s="12">
        <v>0</v>
      </c>
      <c r="BF116" s="12">
        <f>116</f>
        <v>116</v>
      </c>
      <c r="BH116" s="61">
        <f>H116*AO116</f>
        <v>0</v>
      </c>
      <c r="BI116" s="61">
        <f>H116*AP116</f>
        <v>0</v>
      </c>
      <c r="BJ116" s="61">
        <f>H116*I116</f>
        <v>0</v>
      </c>
      <c r="BK116" s="61" t="s">
        <v>414</v>
      </c>
      <c r="BL116" s="12">
        <v>61</v>
      </c>
    </row>
    <row r="117" spans="1:64" ht="12.75">
      <c r="A117" s="46" t="s">
        <v>184</v>
      </c>
      <c r="B117" s="53" t="s">
        <v>237</v>
      </c>
      <c r="C117" s="162" t="s">
        <v>294</v>
      </c>
      <c r="D117" s="163"/>
      <c r="E117" s="163"/>
      <c r="F117" s="163"/>
      <c r="G117" s="53" t="s">
        <v>349</v>
      </c>
      <c r="H117" s="61">
        <v>17.1</v>
      </c>
      <c r="I117" s="61">
        <v>0</v>
      </c>
      <c r="J117" s="61">
        <f>H117*AO117</f>
        <v>0</v>
      </c>
      <c r="K117" s="61">
        <f>H117*AP117</f>
        <v>0</v>
      </c>
      <c r="L117" s="61">
        <f>H117*I117</f>
        <v>0</v>
      </c>
      <c r="M117" s="71" t="s">
        <v>367</v>
      </c>
      <c r="N117" s="11"/>
      <c r="Z117" s="12">
        <f>IF(AQ117="5",BJ117,0)</f>
        <v>0</v>
      </c>
      <c r="AB117" s="12">
        <f>IF(AQ117="1",BH117,0)</f>
        <v>0</v>
      </c>
      <c r="AC117" s="12">
        <f>IF(AQ117="1",BI117,0)</f>
        <v>0</v>
      </c>
      <c r="AD117" s="12">
        <f>IF(AQ117="7",BH117,0)</f>
        <v>0</v>
      </c>
      <c r="AE117" s="12">
        <f>IF(AQ117="7",BI117,0)</f>
        <v>0</v>
      </c>
      <c r="AF117" s="12">
        <f>IF(AQ117="2",BH117,0)</f>
        <v>0</v>
      </c>
      <c r="AG117" s="12">
        <f>IF(AQ117="2",BI117,0)</f>
        <v>0</v>
      </c>
      <c r="AH117" s="12">
        <f>IF(AQ117="0",BJ117,0)</f>
        <v>0</v>
      </c>
      <c r="AI117" s="73" t="s">
        <v>7</v>
      </c>
      <c r="AJ117" s="61">
        <f>IF(AN117=0,L117,0)</f>
        <v>0</v>
      </c>
      <c r="AK117" s="61">
        <f>IF(AN117=15,L117,0)</f>
        <v>0</v>
      </c>
      <c r="AL117" s="61">
        <f>IF(AN117=21,L117,0)</f>
        <v>0</v>
      </c>
      <c r="AN117" s="12">
        <v>21</v>
      </c>
      <c r="AO117" s="12">
        <f>I117*0.0980763755962866</f>
        <v>0</v>
      </c>
      <c r="AP117" s="12">
        <f>I117*(1-0.0980763755962866)</f>
        <v>0</v>
      </c>
      <c r="AQ117" s="74" t="s">
        <v>119</v>
      </c>
      <c r="AV117" s="12">
        <f>AW117+AX117</f>
        <v>0</v>
      </c>
      <c r="AW117" s="12">
        <f>H117*AO117</f>
        <v>0</v>
      </c>
      <c r="AX117" s="12">
        <f>H117*AP117</f>
        <v>0</v>
      </c>
      <c r="AY117" s="75" t="s">
        <v>379</v>
      </c>
      <c r="AZ117" s="75" t="s">
        <v>402</v>
      </c>
      <c r="BA117" s="73" t="s">
        <v>409</v>
      </c>
      <c r="BC117" s="12">
        <f>AW117+AX117</f>
        <v>0</v>
      </c>
      <c r="BD117" s="12">
        <f>I117/(100-BE117)*100</f>
        <v>0</v>
      </c>
      <c r="BE117" s="12">
        <v>0</v>
      </c>
      <c r="BF117" s="12">
        <f>117</f>
        <v>117</v>
      </c>
      <c r="BH117" s="61">
        <f>H117*AO117</f>
        <v>0</v>
      </c>
      <c r="BI117" s="61">
        <f>H117*AP117</f>
        <v>0</v>
      </c>
      <c r="BJ117" s="61">
        <f>H117*I117</f>
        <v>0</v>
      </c>
      <c r="BK117" s="61" t="s">
        <v>414</v>
      </c>
      <c r="BL117" s="12">
        <v>61</v>
      </c>
    </row>
    <row r="118" spans="1:47" ht="12.75">
      <c r="A118" s="45"/>
      <c r="B118" s="52" t="s">
        <v>12</v>
      </c>
      <c r="C118" s="160" t="s">
        <v>28</v>
      </c>
      <c r="D118" s="161"/>
      <c r="E118" s="161"/>
      <c r="F118" s="161"/>
      <c r="G118" s="58" t="s">
        <v>44</v>
      </c>
      <c r="H118" s="58" t="s">
        <v>44</v>
      </c>
      <c r="I118" s="58" t="s">
        <v>44</v>
      </c>
      <c r="J118" s="78">
        <f>SUM(J119:J122)</f>
        <v>0</v>
      </c>
      <c r="K118" s="78">
        <f>SUM(K119:K122)</f>
        <v>0</v>
      </c>
      <c r="L118" s="78">
        <f>SUM(L119:L122)</f>
        <v>0</v>
      </c>
      <c r="M118" s="70"/>
      <c r="N118" s="11"/>
      <c r="AI118" s="73" t="s">
        <v>7</v>
      </c>
      <c r="AS118" s="78">
        <f>SUM(AJ119:AJ122)</f>
        <v>0</v>
      </c>
      <c r="AT118" s="78">
        <f>SUM(AK119:AK122)</f>
        <v>0</v>
      </c>
      <c r="AU118" s="78">
        <f>SUM(AL119:AL122)</f>
        <v>0</v>
      </c>
    </row>
    <row r="119" spans="1:64" ht="12.75">
      <c r="A119" s="46" t="s">
        <v>185</v>
      </c>
      <c r="B119" s="53" t="s">
        <v>238</v>
      </c>
      <c r="C119" s="162" t="s">
        <v>295</v>
      </c>
      <c r="D119" s="163"/>
      <c r="E119" s="163"/>
      <c r="F119" s="163"/>
      <c r="G119" s="53" t="s">
        <v>349</v>
      </c>
      <c r="H119" s="61">
        <v>46.95</v>
      </c>
      <c r="I119" s="61">
        <v>0</v>
      </c>
      <c r="J119" s="61">
        <f>H119*AO119</f>
        <v>0</v>
      </c>
      <c r="K119" s="61">
        <f>H119*AP119</f>
        <v>0</v>
      </c>
      <c r="L119" s="61">
        <f>H119*I119</f>
        <v>0</v>
      </c>
      <c r="M119" s="71" t="s">
        <v>367</v>
      </c>
      <c r="N119" s="11"/>
      <c r="Z119" s="12">
        <f>IF(AQ119="5",BJ119,0)</f>
        <v>0</v>
      </c>
      <c r="AB119" s="12">
        <f>IF(AQ119="1",BH119,0)</f>
        <v>0</v>
      </c>
      <c r="AC119" s="12">
        <f>IF(AQ119="1",BI119,0)</f>
        <v>0</v>
      </c>
      <c r="AD119" s="12">
        <f>IF(AQ119="7",BH119,0)</f>
        <v>0</v>
      </c>
      <c r="AE119" s="12">
        <f>IF(AQ119="7",BI119,0)</f>
        <v>0</v>
      </c>
      <c r="AF119" s="12">
        <f>IF(AQ119="2",BH119,0)</f>
        <v>0</v>
      </c>
      <c r="AG119" s="12">
        <f>IF(AQ119="2",BI119,0)</f>
        <v>0</v>
      </c>
      <c r="AH119" s="12">
        <f>IF(AQ119="0",BJ119,0)</f>
        <v>0</v>
      </c>
      <c r="AI119" s="73" t="s">
        <v>7</v>
      </c>
      <c r="AJ119" s="61">
        <f>IF(AN119=0,L119,0)</f>
        <v>0</v>
      </c>
      <c r="AK119" s="61">
        <f>IF(AN119=15,L119,0)</f>
        <v>0</v>
      </c>
      <c r="AL119" s="61">
        <f>IF(AN119=21,L119,0)</f>
        <v>0</v>
      </c>
      <c r="AN119" s="12">
        <v>21</v>
      </c>
      <c r="AO119" s="12">
        <f>I119*0.267946044146875</f>
        <v>0</v>
      </c>
      <c r="AP119" s="12">
        <f>I119*(1-0.267946044146875)</f>
        <v>0</v>
      </c>
      <c r="AQ119" s="74" t="s">
        <v>119</v>
      </c>
      <c r="AV119" s="12">
        <f>AW119+AX119</f>
        <v>0</v>
      </c>
      <c r="AW119" s="12">
        <f>H119*AO119</f>
        <v>0</v>
      </c>
      <c r="AX119" s="12">
        <f>H119*AP119</f>
        <v>0</v>
      </c>
      <c r="AY119" s="75" t="s">
        <v>380</v>
      </c>
      <c r="AZ119" s="75" t="s">
        <v>402</v>
      </c>
      <c r="BA119" s="73" t="s">
        <v>409</v>
      </c>
      <c r="BC119" s="12">
        <f>AW119+AX119</f>
        <v>0</v>
      </c>
      <c r="BD119" s="12">
        <f>I119/(100-BE119)*100</f>
        <v>0</v>
      </c>
      <c r="BE119" s="12">
        <v>0</v>
      </c>
      <c r="BF119" s="12">
        <f>119</f>
        <v>119</v>
      </c>
      <c r="BH119" s="61">
        <f>H119*AO119</f>
        <v>0</v>
      </c>
      <c r="BI119" s="61">
        <f>H119*AP119</f>
        <v>0</v>
      </c>
      <c r="BJ119" s="61">
        <f>H119*I119</f>
        <v>0</v>
      </c>
      <c r="BK119" s="61" t="s">
        <v>414</v>
      </c>
      <c r="BL119" s="12">
        <v>63</v>
      </c>
    </row>
    <row r="120" spans="1:64" ht="12.75">
      <c r="A120" s="46" t="s">
        <v>186</v>
      </c>
      <c r="B120" s="53" t="s">
        <v>239</v>
      </c>
      <c r="C120" s="162" t="s">
        <v>296</v>
      </c>
      <c r="D120" s="163"/>
      <c r="E120" s="163"/>
      <c r="F120" s="163"/>
      <c r="G120" s="53" t="s">
        <v>349</v>
      </c>
      <c r="H120" s="61">
        <v>46.95</v>
      </c>
      <c r="I120" s="61">
        <v>0</v>
      </c>
      <c r="J120" s="61">
        <f>H120*AO120</f>
        <v>0</v>
      </c>
      <c r="K120" s="61">
        <f>H120*AP120</f>
        <v>0</v>
      </c>
      <c r="L120" s="61">
        <f>H120*I120</f>
        <v>0</v>
      </c>
      <c r="M120" s="71" t="s">
        <v>367</v>
      </c>
      <c r="N120" s="11"/>
      <c r="Z120" s="12">
        <f>IF(AQ120="5",BJ120,0)</f>
        <v>0</v>
      </c>
      <c r="AB120" s="12">
        <f>IF(AQ120="1",BH120,0)</f>
        <v>0</v>
      </c>
      <c r="AC120" s="12">
        <f>IF(AQ120="1",BI120,0)</f>
        <v>0</v>
      </c>
      <c r="AD120" s="12">
        <f>IF(AQ120="7",BH120,0)</f>
        <v>0</v>
      </c>
      <c r="AE120" s="12">
        <f>IF(AQ120="7",BI120,0)</f>
        <v>0</v>
      </c>
      <c r="AF120" s="12">
        <f>IF(AQ120="2",BH120,0)</f>
        <v>0</v>
      </c>
      <c r="AG120" s="12">
        <f>IF(AQ120="2",BI120,0)</f>
        <v>0</v>
      </c>
      <c r="AH120" s="12">
        <f>IF(AQ120="0",BJ120,0)</f>
        <v>0</v>
      </c>
      <c r="AI120" s="73" t="s">
        <v>7</v>
      </c>
      <c r="AJ120" s="61">
        <f>IF(AN120=0,L120,0)</f>
        <v>0</v>
      </c>
      <c r="AK120" s="61">
        <f>IF(AN120=15,L120,0)</f>
        <v>0</v>
      </c>
      <c r="AL120" s="61">
        <f>IF(AN120=21,L120,0)</f>
        <v>0</v>
      </c>
      <c r="AN120" s="12">
        <v>21</v>
      </c>
      <c r="AO120" s="12">
        <f>I120*0.294231853205788</f>
        <v>0</v>
      </c>
      <c r="AP120" s="12">
        <f>I120*(1-0.294231853205788)</f>
        <v>0</v>
      </c>
      <c r="AQ120" s="74" t="s">
        <v>119</v>
      </c>
      <c r="AV120" s="12">
        <f>AW120+AX120</f>
        <v>0</v>
      </c>
      <c r="AW120" s="12">
        <f>H120*AO120</f>
        <v>0</v>
      </c>
      <c r="AX120" s="12">
        <f>H120*AP120</f>
        <v>0</v>
      </c>
      <c r="AY120" s="75" t="s">
        <v>380</v>
      </c>
      <c r="AZ120" s="75" t="s">
        <v>402</v>
      </c>
      <c r="BA120" s="73" t="s">
        <v>409</v>
      </c>
      <c r="BC120" s="12">
        <f>AW120+AX120</f>
        <v>0</v>
      </c>
      <c r="BD120" s="12">
        <f>I120/(100-BE120)*100</f>
        <v>0</v>
      </c>
      <c r="BE120" s="12">
        <v>0</v>
      </c>
      <c r="BF120" s="12">
        <f>120</f>
        <v>120</v>
      </c>
      <c r="BH120" s="61">
        <f>H120*AO120</f>
        <v>0</v>
      </c>
      <c r="BI120" s="61">
        <f>H120*AP120</f>
        <v>0</v>
      </c>
      <c r="BJ120" s="61">
        <f>H120*I120</f>
        <v>0</v>
      </c>
      <c r="BK120" s="61" t="s">
        <v>414</v>
      </c>
      <c r="BL120" s="12">
        <v>63</v>
      </c>
    </row>
    <row r="121" spans="1:64" ht="12.75">
      <c r="A121" s="46" t="s">
        <v>187</v>
      </c>
      <c r="B121" s="53" t="s">
        <v>240</v>
      </c>
      <c r="C121" s="162" t="s">
        <v>297</v>
      </c>
      <c r="D121" s="163"/>
      <c r="E121" s="163"/>
      <c r="F121" s="163"/>
      <c r="G121" s="53" t="s">
        <v>349</v>
      </c>
      <c r="H121" s="61">
        <v>46.95</v>
      </c>
      <c r="I121" s="61">
        <v>0</v>
      </c>
      <c r="J121" s="61">
        <f>H121*AO121</f>
        <v>0</v>
      </c>
      <c r="K121" s="61">
        <f>H121*AP121</f>
        <v>0</v>
      </c>
      <c r="L121" s="61">
        <f>H121*I121</f>
        <v>0</v>
      </c>
      <c r="M121" s="71" t="s">
        <v>367</v>
      </c>
      <c r="N121" s="11"/>
      <c r="Z121" s="12">
        <f>IF(AQ121="5",BJ121,0)</f>
        <v>0</v>
      </c>
      <c r="AB121" s="12">
        <f>IF(AQ121="1",BH121,0)</f>
        <v>0</v>
      </c>
      <c r="AC121" s="12">
        <f>IF(AQ121="1",BI121,0)</f>
        <v>0</v>
      </c>
      <c r="AD121" s="12">
        <f>IF(AQ121="7",BH121,0)</f>
        <v>0</v>
      </c>
      <c r="AE121" s="12">
        <f>IF(AQ121="7",BI121,0)</f>
        <v>0</v>
      </c>
      <c r="AF121" s="12">
        <f>IF(AQ121="2",BH121,0)</f>
        <v>0</v>
      </c>
      <c r="AG121" s="12">
        <f>IF(AQ121="2",BI121,0)</f>
        <v>0</v>
      </c>
      <c r="AH121" s="12">
        <f>IF(AQ121="0",BJ121,0)</f>
        <v>0</v>
      </c>
      <c r="AI121" s="73" t="s">
        <v>7</v>
      </c>
      <c r="AJ121" s="61">
        <f>IF(AN121=0,L121,0)</f>
        <v>0</v>
      </c>
      <c r="AK121" s="61">
        <f>IF(AN121=15,L121,0)</f>
        <v>0</v>
      </c>
      <c r="AL121" s="61">
        <f>IF(AN121=21,L121,0)</f>
        <v>0</v>
      </c>
      <c r="AN121" s="12">
        <v>21</v>
      </c>
      <c r="AO121" s="12">
        <f>I121*0.171016666666667</f>
        <v>0</v>
      </c>
      <c r="AP121" s="12">
        <f>I121*(1-0.171016666666667)</f>
        <v>0</v>
      </c>
      <c r="AQ121" s="74" t="s">
        <v>119</v>
      </c>
      <c r="AV121" s="12">
        <f>AW121+AX121</f>
        <v>0</v>
      </c>
      <c r="AW121" s="12">
        <f>H121*AO121</f>
        <v>0</v>
      </c>
      <c r="AX121" s="12">
        <f>H121*AP121</f>
        <v>0</v>
      </c>
      <c r="AY121" s="75" t="s">
        <v>380</v>
      </c>
      <c r="AZ121" s="75" t="s">
        <v>402</v>
      </c>
      <c r="BA121" s="73" t="s">
        <v>409</v>
      </c>
      <c r="BC121" s="12">
        <f>AW121+AX121</f>
        <v>0</v>
      </c>
      <c r="BD121" s="12">
        <f>I121/(100-BE121)*100</f>
        <v>0</v>
      </c>
      <c r="BE121" s="12">
        <v>0</v>
      </c>
      <c r="BF121" s="12">
        <f>121</f>
        <v>121</v>
      </c>
      <c r="BH121" s="61">
        <f>H121*AO121</f>
        <v>0</v>
      </c>
      <c r="BI121" s="61">
        <f>H121*AP121</f>
        <v>0</v>
      </c>
      <c r="BJ121" s="61">
        <f>H121*I121</f>
        <v>0</v>
      </c>
      <c r="BK121" s="61" t="s">
        <v>414</v>
      </c>
      <c r="BL121" s="12">
        <v>63</v>
      </c>
    </row>
    <row r="122" spans="1:64" ht="12.75">
      <c r="A122" s="46" t="s">
        <v>188</v>
      </c>
      <c r="B122" s="53" t="s">
        <v>241</v>
      </c>
      <c r="C122" s="162" t="s">
        <v>298</v>
      </c>
      <c r="D122" s="163"/>
      <c r="E122" s="163"/>
      <c r="F122" s="163"/>
      <c r="G122" s="53" t="s">
        <v>353</v>
      </c>
      <c r="H122" s="61">
        <v>52.34</v>
      </c>
      <c r="I122" s="61">
        <v>0</v>
      </c>
      <c r="J122" s="61">
        <f>H122*AO122</f>
        <v>0</v>
      </c>
      <c r="K122" s="61">
        <f>H122*AP122</f>
        <v>0</v>
      </c>
      <c r="L122" s="61">
        <f>H122*I122</f>
        <v>0</v>
      </c>
      <c r="M122" s="71" t="s">
        <v>367</v>
      </c>
      <c r="N122" s="11"/>
      <c r="Z122" s="12">
        <f>IF(AQ122="5",BJ122,0)</f>
        <v>0</v>
      </c>
      <c r="AB122" s="12">
        <f>IF(AQ122="1",BH122,0)</f>
        <v>0</v>
      </c>
      <c r="AC122" s="12">
        <f>IF(AQ122="1",BI122,0)</f>
        <v>0</v>
      </c>
      <c r="AD122" s="12">
        <f>IF(AQ122="7",BH122,0)</f>
        <v>0</v>
      </c>
      <c r="AE122" s="12">
        <f>IF(AQ122="7",BI122,0)</f>
        <v>0</v>
      </c>
      <c r="AF122" s="12">
        <f>IF(AQ122="2",BH122,0)</f>
        <v>0</v>
      </c>
      <c r="AG122" s="12">
        <f>IF(AQ122="2",BI122,0)</f>
        <v>0</v>
      </c>
      <c r="AH122" s="12">
        <f>IF(AQ122="0",BJ122,0)</f>
        <v>0</v>
      </c>
      <c r="AI122" s="73" t="s">
        <v>7</v>
      </c>
      <c r="AJ122" s="61">
        <f>IF(AN122=0,L122,0)</f>
        <v>0</v>
      </c>
      <c r="AK122" s="61">
        <f>IF(AN122=15,L122,0)</f>
        <v>0</v>
      </c>
      <c r="AL122" s="61">
        <f>IF(AN122=21,L122,0)</f>
        <v>0</v>
      </c>
      <c r="AN122" s="12">
        <v>21</v>
      </c>
      <c r="AO122" s="12">
        <f>I122*0.237333333333333</f>
        <v>0</v>
      </c>
      <c r="AP122" s="12">
        <f>I122*(1-0.237333333333333)</f>
        <v>0</v>
      </c>
      <c r="AQ122" s="74" t="s">
        <v>119</v>
      </c>
      <c r="AV122" s="12">
        <f>AW122+AX122</f>
        <v>0</v>
      </c>
      <c r="AW122" s="12">
        <f>H122*AO122</f>
        <v>0</v>
      </c>
      <c r="AX122" s="12">
        <f>H122*AP122</f>
        <v>0</v>
      </c>
      <c r="AY122" s="75" t="s">
        <v>380</v>
      </c>
      <c r="AZ122" s="75" t="s">
        <v>402</v>
      </c>
      <c r="BA122" s="73" t="s">
        <v>409</v>
      </c>
      <c r="BC122" s="12">
        <f>AW122+AX122</f>
        <v>0</v>
      </c>
      <c r="BD122" s="12">
        <f>I122/(100-BE122)*100</f>
        <v>0</v>
      </c>
      <c r="BE122" s="12">
        <v>0</v>
      </c>
      <c r="BF122" s="12">
        <f>122</f>
        <v>122</v>
      </c>
      <c r="BH122" s="61">
        <f>H122*AO122</f>
        <v>0</v>
      </c>
      <c r="BI122" s="61">
        <f>H122*AP122</f>
        <v>0</v>
      </c>
      <c r="BJ122" s="61">
        <f>H122*I122</f>
        <v>0</v>
      </c>
      <c r="BK122" s="61" t="s">
        <v>414</v>
      </c>
      <c r="BL122" s="12">
        <v>63</v>
      </c>
    </row>
    <row r="123" spans="1:47" ht="12.75">
      <c r="A123" s="45"/>
      <c r="B123" s="52" t="s">
        <v>13</v>
      </c>
      <c r="C123" s="160" t="s">
        <v>29</v>
      </c>
      <c r="D123" s="161"/>
      <c r="E123" s="161"/>
      <c r="F123" s="161"/>
      <c r="G123" s="58" t="s">
        <v>44</v>
      </c>
      <c r="H123" s="58" t="s">
        <v>44</v>
      </c>
      <c r="I123" s="58" t="s">
        <v>44</v>
      </c>
      <c r="J123" s="78">
        <f>SUM(J124:J128)</f>
        <v>0</v>
      </c>
      <c r="K123" s="78">
        <f>SUM(K124:K128)</f>
        <v>0</v>
      </c>
      <c r="L123" s="78">
        <f>SUM(L124:L128)</f>
        <v>0</v>
      </c>
      <c r="M123" s="70"/>
      <c r="N123" s="11"/>
      <c r="AI123" s="73" t="s">
        <v>7</v>
      </c>
      <c r="AS123" s="78">
        <f>SUM(AJ124:AJ128)</f>
        <v>0</v>
      </c>
      <c r="AT123" s="78">
        <f>SUM(AK124:AK128)</f>
        <v>0</v>
      </c>
      <c r="AU123" s="78">
        <f>SUM(AL124:AL128)</f>
        <v>0</v>
      </c>
    </row>
    <row r="124" spans="1:64" ht="12.75">
      <c r="A124" s="46" t="s">
        <v>189</v>
      </c>
      <c r="B124" s="53" t="s">
        <v>242</v>
      </c>
      <c r="C124" s="162" t="s">
        <v>299</v>
      </c>
      <c r="D124" s="163"/>
      <c r="E124" s="163"/>
      <c r="F124" s="163"/>
      <c r="G124" s="53" t="s">
        <v>352</v>
      </c>
      <c r="H124" s="61">
        <v>1</v>
      </c>
      <c r="I124" s="61">
        <v>0</v>
      </c>
      <c r="J124" s="61">
        <f>H124*AO124</f>
        <v>0</v>
      </c>
      <c r="K124" s="61">
        <f>H124*AP124</f>
        <v>0</v>
      </c>
      <c r="L124" s="61">
        <f>H124*I124</f>
        <v>0</v>
      </c>
      <c r="M124" s="71" t="s">
        <v>367</v>
      </c>
      <c r="N124" s="11"/>
      <c r="Z124" s="12">
        <f>IF(AQ124="5",BJ124,0)</f>
        <v>0</v>
      </c>
      <c r="AB124" s="12">
        <f>IF(AQ124="1",BH124,0)</f>
        <v>0</v>
      </c>
      <c r="AC124" s="12">
        <f>IF(AQ124="1",BI124,0)</f>
        <v>0</v>
      </c>
      <c r="AD124" s="12">
        <f>IF(AQ124="7",BH124,0)</f>
        <v>0</v>
      </c>
      <c r="AE124" s="12">
        <f>IF(AQ124="7",BI124,0)</f>
        <v>0</v>
      </c>
      <c r="AF124" s="12">
        <f>IF(AQ124="2",BH124,0)</f>
        <v>0</v>
      </c>
      <c r="AG124" s="12">
        <f>IF(AQ124="2",BI124,0)</f>
        <v>0</v>
      </c>
      <c r="AH124" s="12">
        <f>IF(AQ124="0",BJ124,0)</f>
        <v>0</v>
      </c>
      <c r="AI124" s="73" t="s">
        <v>7</v>
      </c>
      <c r="AJ124" s="61">
        <f>IF(AN124=0,L124,0)</f>
        <v>0</v>
      </c>
      <c r="AK124" s="61">
        <f>IF(AN124=15,L124,0)</f>
        <v>0</v>
      </c>
      <c r="AL124" s="61">
        <f>IF(AN124=21,L124,0)</f>
        <v>0</v>
      </c>
      <c r="AN124" s="12">
        <v>21</v>
      </c>
      <c r="AO124" s="12">
        <f>I124*0.0639157142857143</f>
        <v>0</v>
      </c>
      <c r="AP124" s="12">
        <f>I124*(1-0.0639157142857143)</f>
        <v>0</v>
      </c>
      <c r="AQ124" s="74" t="s">
        <v>125</v>
      </c>
      <c r="AV124" s="12">
        <f>AW124+AX124</f>
        <v>0</v>
      </c>
      <c r="AW124" s="12">
        <f>H124*AO124</f>
        <v>0</v>
      </c>
      <c r="AX124" s="12">
        <f>H124*AP124</f>
        <v>0</v>
      </c>
      <c r="AY124" s="75" t="s">
        <v>381</v>
      </c>
      <c r="AZ124" s="75" t="s">
        <v>403</v>
      </c>
      <c r="BA124" s="73" t="s">
        <v>409</v>
      </c>
      <c r="BC124" s="12">
        <f>AW124+AX124</f>
        <v>0</v>
      </c>
      <c r="BD124" s="12">
        <f>I124/(100-BE124)*100</f>
        <v>0</v>
      </c>
      <c r="BE124" s="12">
        <v>0</v>
      </c>
      <c r="BF124" s="12">
        <f>124</f>
        <v>124</v>
      </c>
      <c r="BH124" s="61">
        <f>H124*AO124</f>
        <v>0</v>
      </c>
      <c r="BI124" s="61">
        <f>H124*AP124</f>
        <v>0</v>
      </c>
      <c r="BJ124" s="61">
        <f>H124*I124</f>
        <v>0</v>
      </c>
      <c r="BK124" s="61" t="s">
        <v>414</v>
      </c>
      <c r="BL124" s="12">
        <v>725</v>
      </c>
    </row>
    <row r="125" spans="1:14" ht="12.75">
      <c r="A125" s="11"/>
      <c r="B125" s="54" t="s">
        <v>227</v>
      </c>
      <c r="C125" s="164" t="s">
        <v>300</v>
      </c>
      <c r="D125" s="165"/>
      <c r="E125" s="165"/>
      <c r="F125" s="165"/>
      <c r="G125" s="165"/>
      <c r="H125" s="165"/>
      <c r="I125" s="165"/>
      <c r="J125" s="165"/>
      <c r="K125" s="165"/>
      <c r="L125" s="165"/>
      <c r="M125" s="166"/>
      <c r="N125" s="11"/>
    </row>
    <row r="126" spans="1:64" ht="12.75">
      <c r="A126" s="46" t="s">
        <v>190</v>
      </c>
      <c r="B126" s="53" t="s">
        <v>243</v>
      </c>
      <c r="C126" s="162" t="s">
        <v>301</v>
      </c>
      <c r="D126" s="163"/>
      <c r="E126" s="163"/>
      <c r="F126" s="163"/>
      <c r="G126" s="53" t="s">
        <v>352</v>
      </c>
      <c r="H126" s="61">
        <v>1</v>
      </c>
      <c r="I126" s="61">
        <v>0</v>
      </c>
      <c r="J126" s="61">
        <f>H126*AO126</f>
        <v>0</v>
      </c>
      <c r="K126" s="61">
        <f>H126*AP126</f>
        <v>0</v>
      </c>
      <c r="L126" s="61">
        <f>H126*I126</f>
        <v>0</v>
      </c>
      <c r="M126" s="71" t="s">
        <v>367</v>
      </c>
      <c r="N126" s="11"/>
      <c r="Z126" s="12">
        <f>IF(AQ126="5",BJ126,0)</f>
        <v>0</v>
      </c>
      <c r="AB126" s="12">
        <f>IF(AQ126="1",BH126,0)</f>
        <v>0</v>
      </c>
      <c r="AC126" s="12">
        <f>IF(AQ126="1",BI126,0)</f>
        <v>0</v>
      </c>
      <c r="AD126" s="12">
        <f>IF(AQ126="7",BH126,0)</f>
        <v>0</v>
      </c>
      <c r="AE126" s="12">
        <f>IF(AQ126="7",BI126,0)</f>
        <v>0</v>
      </c>
      <c r="AF126" s="12">
        <f>IF(AQ126="2",BH126,0)</f>
        <v>0</v>
      </c>
      <c r="AG126" s="12">
        <f>IF(AQ126="2",BI126,0)</f>
        <v>0</v>
      </c>
      <c r="AH126" s="12">
        <f>IF(AQ126="0",BJ126,0)</f>
        <v>0</v>
      </c>
      <c r="AI126" s="73" t="s">
        <v>7</v>
      </c>
      <c r="AJ126" s="61">
        <f>IF(AN126=0,L126,0)</f>
        <v>0</v>
      </c>
      <c r="AK126" s="61">
        <f>IF(AN126=15,L126,0)</f>
        <v>0</v>
      </c>
      <c r="AL126" s="61">
        <f>IF(AN126=21,L126,0)</f>
        <v>0</v>
      </c>
      <c r="AN126" s="12">
        <v>21</v>
      </c>
      <c r="AO126" s="12">
        <f>I126*0.93</f>
        <v>0</v>
      </c>
      <c r="AP126" s="12">
        <f>I126*(1-0.93)</f>
        <v>0</v>
      </c>
      <c r="AQ126" s="74" t="s">
        <v>125</v>
      </c>
      <c r="AV126" s="12">
        <f>AW126+AX126</f>
        <v>0</v>
      </c>
      <c r="AW126" s="12">
        <f>H126*AO126</f>
        <v>0</v>
      </c>
      <c r="AX126" s="12">
        <f>H126*AP126</f>
        <v>0</v>
      </c>
      <c r="AY126" s="75" t="s">
        <v>381</v>
      </c>
      <c r="AZ126" s="75" t="s">
        <v>403</v>
      </c>
      <c r="BA126" s="73" t="s">
        <v>409</v>
      </c>
      <c r="BC126" s="12">
        <f>AW126+AX126</f>
        <v>0</v>
      </c>
      <c r="BD126" s="12">
        <f>I126/(100-BE126)*100</f>
        <v>0</v>
      </c>
      <c r="BE126" s="12">
        <v>0</v>
      </c>
      <c r="BF126" s="12">
        <f>126</f>
        <v>126</v>
      </c>
      <c r="BH126" s="61">
        <f>H126*AO126</f>
        <v>0</v>
      </c>
      <c r="BI126" s="61">
        <f>H126*AP126</f>
        <v>0</v>
      </c>
      <c r="BJ126" s="61">
        <f>H126*I126</f>
        <v>0</v>
      </c>
      <c r="BK126" s="61" t="s">
        <v>414</v>
      </c>
      <c r="BL126" s="12">
        <v>725</v>
      </c>
    </row>
    <row r="127" spans="1:14" ht="12.75">
      <c r="A127" s="11"/>
      <c r="B127" s="54" t="s">
        <v>227</v>
      </c>
      <c r="C127" s="164" t="s">
        <v>302</v>
      </c>
      <c r="D127" s="165"/>
      <c r="E127" s="165"/>
      <c r="F127" s="165"/>
      <c r="G127" s="165"/>
      <c r="H127" s="165"/>
      <c r="I127" s="165"/>
      <c r="J127" s="165"/>
      <c r="K127" s="165"/>
      <c r="L127" s="165"/>
      <c r="M127" s="166"/>
      <c r="N127" s="11"/>
    </row>
    <row r="128" spans="1:64" ht="12.75">
      <c r="A128" s="46" t="s">
        <v>191</v>
      </c>
      <c r="B128" s="53" t="s">
        <v>244</v>
      </c>
      <c r="C128" s="162" t="s">
        <v>303</v>
      </c>
      <c r="D128" s="163"/>
      <c r="E128" s="163"/>
      <c r="F128" s="163"/>
      <c r="G128" s="53" t="s">
        <v>352</v>
      </c>
      <c r="H128" s="61">
        <v>1</v>
      </c>
      <c r="I128" s="61">
        <v>0</v>
      </c>
      <c r="J128" s="61">
        <f>H128*AO128</f>
        <v>0</v>
      </c>
      <c r="K128" s="61">
        <f>H128*AP128</f>
        <v>0</v>
      </c>
      <c r="L128" s="61">
        <f>H128*I128</f>
        <v>0</v>
      </c>
      <c r="M128" s="71" t="s">
        <v>367</v>
      </c>
      <c r="N128" s="11"/>
      <c r="Z128" s="12">
        <f>IF(AQ128="5",BJ128,0)</f>
        <v>0</v>
      </c>
      <c r="AB128" s="12">
        <f>IF(AQ128="1",BH128,0)</f>
        <v>0</v>
      </c>
      <c r="AC128" s="12">
        <f>IF(AQ128="1",BI128,0)</f>
        <v>0</v>
      </c>
      <c r="AD128" s="12">
        <f>IF(AQ128="7",BH128,0)</f>
        <v>0</v>
      </c>
      <c r="AE128" s="12">
        <f>IF(AQ128="7",BI128,0)</f>
        <v>0</v>
      </c>
      <c r="AF128" s="12">
        <f>IF(AQ128="2",BH128,0)</f>
        <v>0</v>
      </c>
      <c r="AG128" s="12">
        <f>IF(AQ128="2",BI128,0)</f>
        <v>0</v>
      </c>
      <c r="AH128" s="12">
        <f>IF(AQ128="0",BJ128,0)</f>
        <v>0</v>
      </c>
      <c r="AI128" s="73" t="s">
        <v>7</v>
      </c>
      <c r="AJ128" s="61">
        <f>IF(AN128=0,L128,0)</f>
        <v>0</v>
      </c>
      <c r="AK128" s="61">
        <f>IF(AN128=15,L128,0)</f>
        <v>0</v>
      </c>
      <c r="AL128" s="61">
        <f>IF(AN128=21,L128,0)</f>
        <v>0</v>
      </c>
      <c r="AN128" s="12">
        <v>21</v>
      </c>
      <c r="AO128" s="12">
        <f>I128*0.785388571428571</f>
        <v>0</v>
      </c>
      <c r="AP128" s="12">
        <f>I128*(1-0.785388571428571)</f>
        <v>0</v>
      </c>
      <c r="AQ128" s="74" t="s">
        <v>125</v>
      </c>
      <c r="AV128" s="12">
        <f>AW128+AX128</f>
        <v>0</v>
      </c>
      <c r="AW128" s="12">
        <f>H128*AO128</f>
        <v>0</v>
      </c>
      <c r="AX128" s="12">
        <f>H128*AP128</f>
        <v>0</v>
      </c>
      <c r="AY128" s="75" t="s">
        <v>381</v>
      </c>
      <c r="AZ128" s="75" t="s">
        <v>403</v>
      </c>
      <c r="BA128" s="73" t="s">
        <v>409</v>
      </c>
      <c r="BC128" s="12">
        <f>AW128+AX128</f>
        <v>0</v>
      </c>
      <c r="BD128" s="12">
        <f>I128/(100-BE128)*100</f>
        <v>0</v>
      </c>
      <c r="BE128" s="12">
        <v>0</v>
      </c>
      <c r="BF128" s="12">
        <f>128</f>
        <v>128</v>
      </c>
      <c r="BH128" s="61">
        <f>H128*AO128</f>
        <v>0</v>
      </c>
      <c r="BI128" s="61">
        <f>H128*AP128</f>
        <v>0</v>
      </c>
      <c r="BJ128" s="61">
        <f>H128*I128</f>
        <v>0</v>
      </c>
      <c r="BK128" s="61" t="s">
        <v>414</v>
      </c>
      <c r="BL128" s="12">
        <v>725</v>
      </c>
    </row>
    <row r="129" spans="1:47" ht="12.75">
      <c r="A129" s="45"/>
      <c r="B129" s="52" t="s">
        <v>14</v>
      </c>
      <c r="C129" s="160" t="s">
        <v>30</v>
      </c>
      <c r="D129" s="161"/>
      <c r="E129" s="161"/>
      <c r="F129" s="161"/>
      <c r="G129" s="58" t="s">
        <v>44</v>
      </c>
      <c r="H129" s="58" t="s">
        <v>44</v>
      </c>
      <c r="I129" s="58" t="s">
        <v>44</v>
      </c>
      <c r="J129" s="78">
        <f>SUM(J130:J130)</f>
        <v>0</v>
      </c>
      <c r="K129" s="78">
        <f>SUM(K130:K130)</f>
        <v>0</v>
      </c>
      <c r="L129" s="78">
        <f>SUM(L130:L130)</f>
        <v>0</v>
      </c>
      <c r="M129" s="70"/>
      <c r="N129" s="11"/>
      <c r="AI129" s="73" t="s">
        <v>7</v>
      </c>
      <c r="AS129" s="78">
        <f>SUM(AJ130:AJ130)</f>
        <v>0</v>
      </c>
      <c r="AT129" s="78">
        <f>SUM(AK130:AK130)</f>
        <v>0</v>
      </c>
      <c r="AU129" s="78">
        <f>SUM(AL130:AL130)</f>
        <v>0</v>
      </c>
    </row>
    <row r="130" spans="1:64" ht="12.75">
      <c r="A130" s="46" t="s">
        <v>192</v>
      </c>
      <c r="B130" s="53" t="s">
        <v>245</v>
      </c>
      <c r="C130" s="162" t="s">
        <v>304</v>
      </c>
      <c r="D130" s="163"/>
      <c r="E130" s="163"/>
      <c r="F130" s="163"/>
      <c r="G130" s="53" t="s">
        <v>350</v>
      </c>
      <c r="H130" s="61">
        <v>1</v>
      </c>
      <c r="I130" s="61">
        <v>0</v>
      </c>
      <c r="J130" s="61">
        <f>H130*AO130</f>
        <v>0</v>
      </c>
      <c r="K130" s="61">
        <f>H130*AP130</f>
        <v>0</v>
      </c>
      <c r="L130" s="61">
        <f>H130*I130</f>
        <v>0</v>
      </c>
      <c r="M130" s="71" t="s">
        <v>367</v>
      </c>
      <c r="N130" s="11"/>
      <c r="Z130" s="12">
        <f>IF(AQ130="5",BJ130,0)</f>
        <v>0</v>
      </c>
      <c r="AB130" s="12">
        <f>IF(AQ130="1",BH130,0)</f>
        <v>0</v>
      </c>
      <c r="AC130" s="12">
        <f>IF(AQ130="1",BI130,0)</f>
        <v>0</v>
      </c>
      <c r="AD130" s="12">
        <f>IF(AQ130="7",BH130,0)</f>
        <v>0</v>
      </c>
      <c r="AE130" s="12">
        <f>IF(AQ130="7",BI130,0)</f>
        <v>0</v>
      </c>
      <c r="AF130" s="12">
        <f>IF(AQ130="2",BH130,0)</f>
        <v>0</v>
      </c>
      <c r="AG130" s="12">
        <f>IF(AQ130="2",BI130,0)</f>
        <v>0</v>
      </c>
      <c r="AH130" s="12">
        <f>IF(AQ130="0",BJ130,0)</f>
        <v>0</v>
      </c>
      <c r="AI130" s="73" t="s">
        <v>7</v>
      </c>
      <c r="AJ130" s="61">
        <f>IF(AN130=0,L130,0)</f>
        <v>0</v>
      </c>
      <c r="AK130" s="61">
        <f>IF(AN130=15,L130,0)</f>
        <v>0</v>
      </c>
      <c r="AL130" s="61">
        <f>IF(AN130=21,L130,0)</f>
        <v>0</v>
      </c>
      <c r="AN130" s="12">
        <v>21</v>
      </c>
      <c r="AO130" s="12">
        <f>I130*0</f>
        <v>0</v>
      </c>
      <c r="AP130" s="12">
        <f>I130*(1-0)</f>
        <v>0</v>
      </c>
      <c r="AQ130" s="74" t="s">
        <v>125</v>
      </c>
      <c r="AV130" s="12">
        <f>AW130+AX130</f>
        <v>0</v>
      </c>
      <c r="AW130" s="12">
        <f>H130*AO130</f>
        <v>0</v>
      </c>
      <c r="AX130" s="12">
        <f>H130*AP130</f>
        <v>0</v>
      </c>
      <c r="AY130" s="75" t="s">
        <v>382</v>
      </c>
      <c r="AZ130" s="75" t="s">
        <v>403</v>
      </c>
      <c r="BA130" s="73" t="s">
        <v>409</v>
      </c>
      <c r="BC130" s="12">
        <f>AW130+AX130</f>
        <v>0</v>
      </c>
      <c r="BD130" s="12">
        <f>I130/(100-BE130)*100</f>
        <v>0</v>
      </c>
      <c r="BE130" s="12">
        <v>0</v>
      </c>
      <c r="BF130" s="12">
        <f>130</f>
        <v>130</v>
      </c>
      <c r="BH130" s="61">
        <f>H130*AO130</f>
        <v>0</v>
      </c>
      <c r="BI130" s="61">
        <f>H130*AP130</f>
        <v>0</v>
      </c>
      <c r="BJ130" s="61">
        <f>H130*I130</f>
        <v>0</v>
      </c>
      <c r="BK130" s="61" t="s">
        <v>414</v>
      </c>
      <c r="BL130" s="12">
        <v>728</v>
      </c>
    </row>
    <row r="131" spans="1:47" ht="12.75">
      <c r="A131" s="45"/>
      <c r="B131" s="52" t="s">
        <v>15</v>
      </c>
      <c r="C131" s="160" t="s">
        <v>31</v>
      </c>
      <c r="D131" s="161"/>
      <c r="E131" s="161"/>
      <c r="F131" s="161"/>
      <c r="G131" s="58" t="s">
        <v>44</v>
      </c>
      <c r="H131" s="58" t="s">
        <v>44</v>
      </c>
      <c r="I131" s="58" t="s">
        <v>44</v>
      </c>
      <c r="J131" s="78">
        <f>SUM(J132:J132)</f>
        <v>0</v>
      </c>
      <c r="K131" s="78">
        <f>SUM(K132:K132)</f>
        <v>0</v>
      </c>
      <c r="L131" s="78">
        <f>SUM(L132:L132)</f>
        <v>0</v>
      </c>
      <c r="M131" s="70"/>
      <c r="N131" s="11"/>
      <c r="AI131" s="73" t="s">
        <v>7</v>
      </c>
      <c r="AS131" s="78">
        <f>SUM(AJ132:AJ132)</f>
        <v>0</v>
      </c>
      <c r="AT131" s="78">
        <f>SUM(AK132:AK132)</f>
        <v>0</v>
      </c>
      <c r="AU131" s="78">
        <f>SUM(AL132:AL132)</f>
        <v>0</v>
      </c>
    </row>
    <row r="132" spans="1:64" ht="12.75">
      <c r="A132" s="46" t="s">
        <v>193</v>
      </c>
      <c r="B132" s="53" t="s">
        <v>246</v>
      </c>
      <c r="C132" s="162" t="s">
        <v>305</v>
      </c>
      <c r="D132" s="163"/>
      <c r="E132" s="163"/>
      <c r="F132" s="163"/>
      <c r="G132" s="53" t="s">
        <v>353</v>
      </c>
      <c r="H132" s="61">
        <v>2.4</v>
      </c>
      <c r="I132" s="61">
        <v>0</v>
      </c>
      <c r="J132" s="61">
        <f>H132*AO132</f>
        <v>0</v>
      </c>
      <c r="K132" s="61">
        <f>H132*AP132</f>
        <v>0</v>
      </c>
      <c r="L132" s="61">
        <f>H132*I132</f>
        <v>0</v>
      </c>
      <c r="M132" s="71" t="s">
        <v>367</v>
      </c>
      <c r="N132" s="11"/>
      <c r="Z132" s="12">
        <f>IF(AQ132="5",BJ132,0)</f>
        <v>0</v>
      </c>
      <c r="AB132" s="12">
        <f>IF(AQ132="1",BH132,0)</f>
        <v>0</v>
      </c>
      <c r="AC132" s="12">
        <f>IF(AQ132="1",BI132,0)</f>
        <v>0</v>
      </c>
      <c r="AD132" s="12">
        <f>IF(AQ132="7",BH132,0)</f>
        <v>0</v>
      </c>
      <c r="AE132" s="12">
        <f>IF(AQ132="7",BI132,0)</f>
        <v>0</v>
      </c>
      <c r="AF132" s="12">
        <f>IF(AQ132="2",BH132,0)</f>
        <v>0</v>
      </c>
      <c r="AG132" s="12">
        <f>IF(AQ132="2",BI132,0)</f>
        <v>0</v>
      </c>
      <c r="AH132" s="12">
        <f>IF(AQ132="0",BJ132,0)</f>
        <v>0</v>
      </c>
      <c r="AI132" s="73" t="s">
        <v>7</v>
      </c>
      <c r="AJ132" s="61">
        <f>IF(AN132=0,L132,0)</f>
        <v>0</v>
      </c>
      <c r="AK132" s="61">
        <f>IF(AN132=15,L132,0)</f>
        <v>0</v>
      </c>
      <c r="AL132" s="61">
        <f>IF(AN132=21,L132,0)</f>
        <v>0</v>
      </c>
      <c r="AN132" s="12">
        <v>21</v>
      </c>
      <c r="AO132" s="12">
        <f>I132*0.0860733184165597</f>
        <v>0</v>
      </c>
      <c r="AP132" s="12">
        <f>I132*(1-0.0860733184165597)</f>
        <v>0</v>
      </c>
      <c r="AQ132" s="74" t="s">
        <v>125</v>
      </c>
      <c r="AV132" s="12">
        <f>AW132+AX132</f>
        <v>0</v>
      </c>
      <c r="AW132" s="12">
        <f>H132*AO132</f>
        <v>0</v>
      </c>
      <c r="AX132" s="12">
        <f>H132*AP132</f>
        <v>0</v>
      </c>
      <c r="AY132" s="75" t="s">
        <v>383</v>
      </c>
      <c r="AZ132" s="75" t="s">
        <v>404</v>
      </c>
      <c r="BA132" s="73" t="s">
        <v>409</v>
      </c>
      <c r="BC132" s="12">
        <f>AW132+AX132</f>
        <v>0</v>
      </c>
      <c r="BD132" s="12">
        <f>I132/(100-BE132)*100</f>
        <v>0</v>
      </c>
      <c r="BE132" s="12">
        <v>0</v>
      </c>
      <c r="BF132" s="12">
        <f>132</f>
        <v>132</v>
      </c>
      <c r="BH132" s="61">
        <f>H132*AO132</f>
        <v>0</v>
      </c>
      <c r="BI132" s="61">
        <f>H132*AP132</f>
        <v>0</v>
      </c>
      <c r="BJ132" s="61">
        <f>H132*I132</f>
        <v>0</v>
      </c>
      <c r="BK132" s="61" t="s">
        <v>414</v>
      </c>
      <c r="BL132" s="12">
        <v>764</v>
      </c>
    </row>
    <row r="133" spans="1:47" ht="12.75">
      <c r="A133" s="45"/>
      <c r="B133" s="52" t="s">
        <v>16</v>
      </c>
      <c r="C133" s="160" t="s">
        <v>32</v>
      </c>
      <c r="D133" s="161"/>
      <c r="E133" s="161"/>
      <c r="F133" s="161"/>
      <c r="G133" s="58" t="s">
        <v>44</v>
      </c>
      <c r="H133" s="58" t="s">
        <v>44</v>
      </c>
      <c r="I133" s="58" t="s">
        <v>44</v>
      </c>
      <c r="J133" s="78">
        <f>SUM(J134:J146)</f>
        <v>0</v>
      </c>
      <c r="K133" s="78">
        <f>SUM(K134:K146)</f>
        <v>0</v>
      </c>
      <c r="L133" s="78">
        <f>SUM(L134:L146)</f>
        <v>0</v>
      </c>
      <c r="M133" s="70"/>
      <c r="N133" s="11"/>
      <c r="AI133" s="73" t="s">
        <v>7</v>
      </c>
      <c r="AS133" s="78">
        <f>SUM(AJ134:AJ146)</f>
        <v>0</v>
      </c>
      <c r="AT133" s="78">
        <f>SUM(AK134:AK146)</f>
        <v>0</v>
      </c>
      <c r="AU133" s="78">
        <f>SUM(AL134:AL146)</f>
        <v>0</v>
      </c>
    </row>
    <row r="134" spans="1:64" ht="12.75">
      <c r="A134" s="46" t="s">
        <v>194</v>
      </c>
      <c r="B134" s="53" t="s">
        <v>247</v>
      </c>
      <c r="C134" s="162" t="s">
        <v>306</v>
      </c>
      <c r="D134" s="163"/>
      <c r="E134" s="163"/>
      <c r="F134" s="163"/>
      <c r="G134" s="53" t="s">
        <v>350</v>
      </c>
      <c r="H134" s="61">
        <v>5</v>
      </c>
      <c r="I134" s="61">
        <v>0</v>
      </c>
      <c r="J134" s="61">
        <f>H134*AO134</f>
        <v>0</v>
      </c>
      <c r="K134" s="61">
        <f>H134*AP134</f>
        <v>0</v>
      </c>
      <c r="L134" s="61">
        <f>H134*I134</f>
        <v>0</v>
      </c>
      <c r="M134" s="71" t="s">
        <v>367</v>
      </c>
      <c r="N134" s="11"/>
      <c r="Z134" s="12">
        <f>IF(AQ134="5",BJ134,0)</f>
        <v>0</v>
      </c>
      <c r="AB134" s="12">
        <f>IF(AQ134="1",BH134,0)</f>
        <v>0</v>
      </c>
      <c r="AC134" s="12">
        <f>IF(AQ134="1",BI134,0)</f>
        <v>0</v>
      </c>
      <c r="AD134" s="12">
        <f>IF(AQ134="7",BH134,0)</f>
        <v>0</v>
      </c>
      <c r="AE134" s="12">
        <f>IF(AQ134="7",BI134,0)</f>
        <v>0</v>
      </c>
      <c r="AF134" s="12">
        <f>IF(AQ134="2",BH134,0)</f>
        <v>0</v>
      </c>
      <c r="AG134" s="12">
        <f>IF(AQ134="2",BI134,0)</f>
        <v>0</v>
      </c>
      <c r="AH134" s="12">
        <f>IF(AQ134="0",BJ134,0)</f>
        <v>0</v>
      </c>
      <c r="AI134" s="73" t="s">
        <v>7</v>
      </c>
      <c r="AJ134" s="61">
        <f>IF(AN134=0,L134,0)</f>
        <v>0</v>
      </c>
      <c r="AK134" s="61">
        <f>IF(AN134=15,L134,0)</f>
        <v>0</v>
      </c>
      <c r="AL134" s="61">
        <f>IF(AN134=21,L134,0)</f>
        <v>0</v>
      </c>
      <c r="AN134" s="12">
        <v>21</v>
      </c>
      <c r="AO134" s="12">
        <f>I134*0.425174897792868</f>
        <v>0</v>
      </c>
      <c r="AP134" s="12">
        <f>I134*(1-0.425174897792868)</f>
        <v>0</v>
      </c>
      <c r="AQ134" s="74" t="s">
        <v>125</v>
      </c>
      <c r="AV134" s="12">
        <f>AW134+AX134</f>
        <v>0</v>
      </c>
      <c r="AW134" s="12">
        <f>H134*AO134</f>
        <v>0</v>
      </c>
      <c r="AX134" s="12">
        <f>H134*AP134</f>
        <v>0</v>
      </c>
      <c r="AY134" s="75" t="s">
        <v>384</v>
      </c>
      <c r="AZ134" s="75" t="s">
        <v>404</v>
      </c>
      <c r="BA134" s="73" t="s">
        <v>409</v>
      </c>
      <c r="BC134" s="12">
        <f>AW134+AX134</f>
        <v>0</v>
      </c>
      <c r="BD134" s="12">
        <f>I134/(100-BE134)*100</f>
        <v>0</v>
      </c>
      <c r="BE134" s="12">
        <v>0</v>
      </c>
      <c r="BF134" s="12">
        <f>134</f>
        <v>134</v>
      </c>
      <c r="BH134" s="61">
        <f>H134*AO134</f>
        <v>0</v>
      </c>
      <c r="BI134" s="61">
        <f>H134*AP134</f>
        <v>0</v>
      </c>
      <c r="BJ134" s="61">
        <f>H134*I134</f>
        <v>0</v>
      </c>
      <c r="BK134" s="61" t="s">
        <v>414</v>
      </c>
      <c r="BL134" s="12">
        <v>767</v>
      </c>
    </row>
    <row r="135" spans="1:14" ht="12.75">
      <c r="A135" s="11"/>
      <c r="B135" s="54" t="s">
        <v>227</v>
      </c>
      <c r="C135" s="164" t="s">
        <v>307</v>
      </c>
      <c r="D135" s="165"/>
      <c r="E135" s="165"/>
      <c r="F135" s="165"/>
      <c r="G135" s="165"/>
      <c r="H135" s="165"/>
      <c r="I135" s="165"/>
      <c r="J135" s="165"/>
      <c r="K135" s="165"/>
      <c r="L135" s="165"/>
      <c r="M135" s="166"/>
      <c r="N135" s="11"/>
    </row>
    <row r="136" spans="1:64" ht="12.75">
      <c r="A136" s="46" t="s">
        <v>195</v>
      </c>
      <c r="B136" s="53" t="s">
        <v>248</v>
      </c>
      <c r="C136" s="162" t="s">
        <v>308</v>
      </c>
      <c r="D136" s="163"/>
      <c r="E136" s="163"/>
      <c r="F136" s="163"/>
      <c r="G136" s="53" t="s">
        <v>350</v>
      </c>
      <c r="H136" s="61">
        <v>2</v>
      </c>
      <c r="I136" s="61">
        <v>0</v>
      </c>
      <c r="J136" s="61">
        <f>H136*AO136</f>
        <v>0</v>
      </c>
      <c r="K136" s="61">
        <f>H136*AP136</f>
        <v>0</v>
      </c>
      <c r="L136" s="61">
        <f>H136*I136</f>
        <v>0</v>
      </c>
      <c r="M136" s="71" t="s">
        <v>367</v>
      </c>
      <c r="N136" s="11"/>
      <c r="Z136" s="12">
        <f>IF(AQ136="5",BJ136,0)</f>
        <v>0</v>
      </c>
      <c r="AB136" s="12">
        <f>IF(AQ136="1",BH136,0)</f>
        <v>0</v>
      </c>
      <c r="AC136" s="12">
        <f>IF(AQ136="1",BI136,0)</f>
        <v>0</v>
      </c>
      <c r="AD136" s="12">
        <f>IF(AQ136="7",BH136,0)</f>
        <v>0</v>
      </c>
      <c r="AE136" s="12">
        <f>IF(AQ136="7",BI136,0)</f>
        <v>0</v>
      </c>
      <c r="AF136" s="12">
        <f>IF(AQ136="2",BH136,0)</f>
        <v>0</v>
      </c>
      <c r="AG136" s="12">
        <f>IF(AQ136="2",BI136,0)</f>
        <v>0</v>
      </c>
      <c r="AH136" s="12">
        <f>IF(AQ136="0",BJ136,0)</f>
        <v>0</v>
      </c>
      <c r="AI136" s="73" t="s">
        <v>7</v>
      </c>
      <c r="AJ136" s="61">
        <f>IF(AN136=0,L136,0)</f>
        <v>0</v>
      </c>
      <c r="AK136" s="61">
        <f>IF(AN136=15,L136,0)</f>
        <v>0</v>
      </c>
      <c r="AL136" s="61">
        <f>IF(AN136=21,L136,0)</f>
        <v>0</v>
      </c>
      <c r="AN136" s="12">
        <v>21</v>
      </c>
      <c r="AO136" s="12">
        <f>I136*0.81903</f>
        <v>0</v>
      </c>
      <c r="AP136" s="12">
        <f>I136*(1-0.81903)</f>
        <v>0</v>
      </c>
      <c r="AQ136" s="74" t="s">
        <v>125</v>
      </c>
      <c r="AV136" s="12">
        <f>AW136+AX136</f>
        <v>0</v>
      </c>
      <c r="AW136" s="12">
        <f>H136*AO136</f>
        <v>0</v>
      </c>
      <c r="AX136" s="12">
        <f>H136*AP136</f>
        <v>0</v>
      </c>
      <c r="AY136" s="75" t="s">
        <v>384</v>
      </c>
      <c r="AZ136" s="75" t="s">
        <v>404</v>
      </c>
      <c r="BA136" s="73" t="s">
        <v>409</v>
      </c>
      <c r="BC136" s="12">
        <f>AW136+AX136</f>
        <v>0</v>
      </c>
      <c r="BD136" s="12">
        <f>I136/(100-BE136)*100</f>
        <v>0</v>
      </c>
      <c r="BE136" s="12">
        <v>0</v>
      </c>
      <c r="BF136" s="12">
        <f>136</f>
        <v>136</v>
      </c>
      <c r="BH136" s="61">
        <f>H136*AO136</f>
        <v>0</v>
      </c>
      <c r="BI136" s="61">
        <f>H136*AP136</f>
        <v>0</v>
      </c>
      <c r="BJ136" s="61">
        <f>H136*I136</f>
        <v>0</v>
      </c>
      <c r="BK136" s="61" t="s">
        <v>414</v>
      </c>
      <c r="BL136" s="12">
        <v>767</v>
      </c>
    </row>
    <row r="137" spans="1:14" ht="12.75">
      <c r="A137" s="11"/>
      <c r="B137" s="54" t="s">
        <v>227</v>
      </c>
      <c r="C137" s="164" t="s">
        <v>309</v>
      </c>
      <c r="D137" s="165"/>
      <c r="E137" s="165"/>
      <c r="F137" s="165"/>
      <c r="G137" s="165"/>
      <c r="H137" s="165"/>
      <c r="I137" s="165"/>
      <c r="J137" s="165"/>
      <c r="K137" s="165"/>
      <c r="L137" s="165"/>
      <c r="M137" s="166"/>
      <c r="N137" s="11"/>
    </row>
    <row r="138" spans="1:64" ht="12.75">
      <c r="A138" s="46" t="s">
        <v>196</v>
      </c>
      <c r="B138" s="53" t="s">
        <v>248</v>
      </c>
      <c r="C138" s="162" t="s">
        <v>310</v>
      </c>
      <c r="D138" s="163"/>
      <c r="E138" s="163"/>
      <c r="F138" s="163"/>
      <c r="G138" s="53" t="s">
        <v>350</v>
      </c>
      <c r="H138" s="61">
        <v>1</v>
      </c>
      <c r="I138" s="61">
        <v>0</v>
      </c>
      <c r="J138" s="61">
        <f>H138*AO138</f>
        <v>0</v>
      </c>
      <c r="K138" s="61">
        <f>H138*AP138</f>
        <v>0</v>
      </c>
      <c r="L138" s="61">
        <f>H138*I138</f>
        <v>0</v>
      </c>
      <c r="M138" s="71" t="s">
        <v>367</v>
      </c>
      <c r="N138" s="11"/>
      <c r="Z138" s="12">
        <f>IF(AQ138="5",BJ138,0)</f>
        <v>0</v>
      </c>
      <c r="AB138" s="12">
        <f>IF(AQ138="1",BH138,0)</f>
        <v>0</v>
      </c>
      <c r="AC138" s="12">
        <f>IF(AQ138="1",BI138,0)</f>
        <v>0</v>
      </c>
      <c r="AD138" s="12">
        <f>IF(AQ138="7",BH138,0)</f>
        <v>0</v>
      </c>
      <c r="AE138" s="12">
        <f>IF(AQ138="7",BI138,0)</f>
        <v>0</v>
      </c>
      <c r="AF138" s="12">
        <f>IF(AQ138="2",BH138,0)</f>
        <v>0</v>
      </c>
      <c r="AG138" s="12">
        <f>IF(AQ138="2",BI138,0)</f>
        <v>0</v>
      </c>
      <c r="AH138" s="12">
        <f>IF(AQ138="0",BJ138,0)</f>
        <v>0</v>
      </c>
      <c r="AI138" s="73" t="s">
        <v>7</v>
      </c>
      <c r="AJ138" s="61">
        <f>IF(AN138=0,L138,0)</f>
        <v>0</v>
      </c>
      <c r="AK138" s="61">
        <f>IF(AN138=15,L138,0)</f>
        <v>0</v>
      </c>
      <c r="AL138" s="61">
        <f>IF(AN138=21,L138,0)</f>
        <v>0</v>
      </c>
      <c r="AN138" s="12">
        <v>21</v>
      </c>
      <c r="AO138" s="12">
        <f>I138*0.81903</f>
        <v>0</v>
      </c>
      <c r="AP138" s="12">
        <f>I138*(1-0.81903)</f>
        <v>0</v>
      </c>
      <c r="AQ138" s="74" t="s">
        <v>125</v>
      </c>
      <c r="AV138" s="12">
        <f>AW138+AX138</f>
        <v>0</v>
      </c>
      <c r="AW138" s="12">
        <f>H138*AO138</f>
        <v>0</v>
      </c>
      <c r="AX138" s="12">
        <f>H138*AP138</f>
        <v>0</v>
      </c>
      <c r="AY138" s="75" t="s">
        <v>384</v>
      </c>
      <c r="AZ138" s="75" t="s">
        <v>404</v>
      </c>
      <c r="BA138" s="73" t="s">
        <v>409</v>
      </c>
      <c r="BC138" s="12">
        <f>AW138+AX138</f>
        <v>0</v>
      </c>
      <c r="BD138" s="12">
        <f>I138/(100-BE138)*100</f>
        <v>0</v>
      </c>
      <c r="BE138" s="12">
        <v>0</v>
      </c>
      <c r="BF138" s="12">
        <f>138</f>
        <v>138</v>
      </c>
      <c r="BH138" s="61">
        <f>H138*AO138</f>
        <v>0</v>
      </c>
      <c r="BI138" s="61">
        <f>H138*AP138</f>
        <v>0</v>
      </c>
      <c r="BJ138" s="61">
        <f>H138*I138</f>
        <v>0</v>
      </c>
      <c r="BK138" s="61" t="s">
        <v>414</v>
      </c>
      <c r="BL138" s="12">
        <v>767</v>
      </c>
    </row>
    <row r="139" spans="1:14" ht="12.75">
      <c r="A139" s="11"/>
      <c r="B139" s="54" t="s">
        <v>227</v>
      </c>
      <c r="C139" s="164" t="s">
        <v>309</v>
      </c>
      <c r="D139" s="165"/>
      <c r="E139" s="165"/>
      <c r="F139" s="165"/>
      <c r="G139" s="165"/>
      <c r="H139" s="165"/>
      <c r="I139" s="165"/>
      <c r="J139" s="165"/>
      <c r="K139" s="165"/>
      <c r="L139" s="165"/>
      <c r="M139" s="166"/>
      <c r="N139" s="11"/>
    </row>
    <row r="140" spans="1:64" ht="12.75">
      <c r="A140" s="46" t="s">
        <v>197</v>
      </c>
      <c r="B140" s="53" t="s">
        <v>248</v>
      </c>
      <c r="C140" s="162" t="s">
        <v>311</v>
      </c>
      <c r="D140" s="163"/>
      <c r="E140" s="163"/>
      <c r="F140" s="163"/>
      <c r="G140" s="53" t="s">
        <v>350</v>
      </c>
      <c r="H140" s="61">
        <v>1</v>
      </c>
      <c r="I140" s="61">
        <v>0</v>
      </c>
      <c r="J140" s="61">
        <f>H140*AO140</f>
        <v>0</v>
      </c>
      <c r="K140" s="61">
        <f>H140*AP140</f>
        <v>0</v>
      </c>
      <c r="L140" s="61">
        <f>H140*I140</f>
        <v>0</v>
      </c>
      <c r="M140" s="71" t="s">
        <v>367</v>
      </c>
      <c r="N140" s="11"/>
      <c r="Z140" s="12">
        <f>IF(AQ140="5",BJ140,0)</f>
        <v>0</v>
      </c>
      <c r="AB140" s="12">
        <f>IF(AQ140="1",BH140,0)</f>
        <v>0</v>
      </c>
      <c r="AC140" s="12">
        <f>IF(AQ140="1",BI140,0)</f>
        <v>0</v>
      </c>
      <c r="AD140" s="12">
        <f>IF(AQ140="7",BH140,0)</f>
        <v>0</v>
      </c>
      <c r="AE140" s="12">
        <f>IF(AQ140="7",BI140,0)</f>
        <v>0</v>
      </c>
      <c r="AF140" s="12">
        <f>IF(AQ140="2",BH140,0)</f>
        <v>0</v>
      </c>
      <c r="AG140" s="12">
        <f>IF(AQ140="2",BI140,0)</f>
        <v>0</v>
      </c>
      <c r="AH140" s="12">
        <f>IF(AQ140="0",BJ140,0)</f>
        <v>0</v>
      </c>
      <c r="AI140" s="73" t="s">
        <v>7</v>
      </c>
      <c r="AJ140" s="61">
        <f>IF(AN140=0,L140,0)</f>
        <v>0</v>
      </c>
      <c r="AK140" s="61">
        <f>IF(AN140=15,L140,0)</f>
        <v>0</v>
      </c>
      <c r="AL140" s="61">
        <f>IF(AN140=21,L140,0)</f>
        <v>0</v>
      </c>
      <c r="AN140" s="12">
        <v>21</v>
      </c>
      <c r="AO140" s="12">
        <f>I140*0.81903</f>
        <v>0</v>
      </c>
      <c r="AP140" s="12">
        <f>I140*(1-0.81903)</f>
        <v>0</v>
      </c>
      <c r="AQ140" s="74" t="s">
        <v>125</v>
      </c>
      <c r="AV140" s="12">
        <f>AW140+AX140</f>
        <v>0</v>
      </c>
      <c r="AW140" s="12">
        <f>H140*AO140</f>
        <v>0</v>
      </c>
      <c r="AX140" s="12">
        <f>H140*AP140</f>
        <v>0</v>
      </c>
      <c r="AY140" s="75" t="s">
        <v>384</v>
      </c>
      <c r="AZ140" s="75" t="s">
        <v>404</v>
      </c>
      <c r="BA140" s="73" t="s">
        <v>409</v>
      </c>
      <c r="BC140" s="12">
        <f>AW140+AX140</f>
        <v>0</v>
      </c>
      <c r="BD140" s="12">
        <f>I140/(100-BE140)*100</f>
        <v>0</v>
      </c>
      <c r="BE140" s="12">
        <v>0</v>
      </c>
      <c r="BF140" s="12">
        <f>140</f>
        <v>140</v>
      </c>
      <c r="BH140" s="61">
        <f>H140*AO140</f>
        <v>0</v>
      </c>
      <c r="BI140" s="61">
        <f>H140*AP140</f>
        <v>0</v>
      </c>
      <c r="BJ140" s="61">
        <f>H140*I140</f>
        <v>0</v>
      </c>
      <c r="BK140" s="61" t="s">
        <v>414</v>
      </c>
      <c r="BL140" s="12">
        <v>767</v>
      </c>
    </row>
    <row r="141" spans="1:14" ht="12.75">
      <c r="A141" s="11"/>
      <c r="B141" s="54" t="s">
        <v>227</v>
      </c>
      <c r="C141" s="164" t="s">
        <v>309</v>
      </c>
      <c r="D141" s="165"/>
      <c r="E141" s="165"/>
      <c r="F141" s="165"/>
      <c r="G141" s="165"/>
      <c r="H141" s="165"/>
      <c r="I141" s="165"/>
      <c r="J141" s="165"/>
      <c r="K141" s="165"/>
      <c r="L141" s="165"/>
      <c r="M141" s="166"/>
      <c r="N141" s="11"/>
    </row>
    <row r="142" spans="1:64" ht="12.75">
      <c r="A142" s="46" t="s">
        <v>198</v>
      </c>
      <c r="B142" s="53" t="s">
        <v>249</v>
      </c>
      <c r="C142" s="162" t="s">
        <v>312</v>
      </c>
      <c r="D142" s="163"/>
      <c r="E142" s="163"/>
      <c r="F142" s="163"/>
      <c r="G142" s="53" t="s">
        <v>350</v>
      </c>
      <c r="H142" s="61">
        <v>1</v>
      </c>
      <c r="I142" s="61">
        <v>0</v>
      </c>
      <c r="J142" s="61">
        <f>H142*AO142</f>
        <v>0</v>
      </c>
      <c r="K142" s="61">
        <f>H142*AP142</f>
        <v>0</v>
      </c>
      <c r="L142" s="61">
        <f>H142*I142</f>
        <v>0</v>
      </c>
      <c r="M142" s="71" t="s">
        <v>367</v>
      </c>
      <c r="N142" s="11"/>
      <c r="Z142" s="12">
        <f>IF(AQ142="5",BJ142,0)</f>
        <v>0</v>
      </c>
      <c r="AB142" s="12">
        <f>IF(AQ142="1",BH142,0)</f>
        <v>0</v>
      </c>
      <c r="AC142" s="12">
        <f>IF(AQ142="1",BI142,0)</f>
        <v>0</v>
      </c>
      <c r="AD142" s="12">
        <f>IF(AQ142="7",BH142,0)</f>
        <v>0</v>
      </c>
      <c r="AE142" s="12">
        <f>IF(AQ142="7",BI142,0)</f>
        <v>0</v>
      </c>
      <c r="AF142" s="12">
        <f>IF(AQ142="2",BH142,0)</f>
        <v>0</v>
      </c>
      <c r="AG142" s="12">
        <f>IF(AQ142="2",BI142,0)</f>
        <v>0</v>
      </c>
      <c r="AH142" s="12">
        <f>IF(AQ142="0",BJ142,0)</f>
        <v>0</v>
      </c>
      <c r="AI142" s="73" t="s">
        <v>7</v>
      </c>
      <c r="AJ142" s="61">
        <f>IF(AN142=0,L142,0)</f>
        <v>0</v>
      </c>
      <c r="AK142" s="61">
        <f>IF(AN142=15,L142,0)</f>
        <v>0</v>
      </c>
      <c r="AL142" s="61">
        <f>IF(AN142=21,L142,0)</f>
        <v>0</v>
      </c>
      <c r="AN142" s="12">
        <v>21</v>
      </c>
      <c r="AO142" s="12">
        <f>I142*0.589572855380876</f>
        <v>0</v>
      </c>
      <c r="AP142" s="12">
        <f>I142*(1-0.589572855380876)</f>
        <v>0</v>
      </c>
      <c r="AQ142" s="74" t="s">
        <v>125</v>
      </c>
      <c r="AV142" s="12">
        <f>AW142+AX142</f>
        <v>0</v>
      </c>
      <c r="AW142" s="12">
        <f>H142*AO142</f>
        <v>0</v>
      </c>
      <c r="AX142" s="12">
        <f>H142*AP142</f>
        <v>0</v>
      </c>
      <c r="AY142" s="75" t="s">
        <v>384</v>
      </c>
      <c r="AZ142" s="75" t="s">
        <v>404</v>
      </c>
      <c r="BA142" s="73" t="s">
        <v>409</v>
      </c>
      <c r="BC142" s="12">
        <f>AW142+AX142</f>
        <v>0</v>
      </c>
      <c r="BD142" s="12">
        <f>I142/(100-BE142)*100</f>
        <v>0</v>
      </c>
      <c r="BE142" s="12">
        <v>0</v>
      </c>
      <c r="BF142" s="12">
        <f>142</f>
        <v>142</v>
      </c>
      <c r="BH142" s="61">
        <f>H142*AO142</f>
        <v>0</v>
      </c>
      <c r="BI142" s="61">
        <f>H142*AP142</f>
        <v>0</v>
      </c>
      <c r="BJ142" s="61">
        <f>H142*I142</f>
        <v>0</v>
      </c>
      <c r="BK142" s="61" t="s">
        <v>414</v>
      </c>
      <c r="BL142" s="12">
        <v>767</v>
      </c>
    </row>
    <row r="143" spans="1:14" ht="12.75">
      <c r="A143" s="11"/>
      <c r="B143" s="54" t="s">
        <v>227</v>
      </c>
      <c r="C143" s="164" t="s">
        <v>313</v>
      </c>
      <c r="D143" s="165"/>
      <c r="E143" s="165"/>
      <c r="F143" s="165"/>
      <c r="G143" s="165"/>
      <c r="H143" s="165"/>
      <c r="I143" s="165"/>
      <c r="J143" s="165"/>
      <c r="K143" s="165"/>
      <c r="L143" s="165"/>
      <c r="M143" s="166"/>
      <c r="N143" s="11"/>
    </row>
    <row r="144" spans="1:64" ht="12.75">
      <c r="A144" s="46" t="s">
        <v>199</v>
      </c>
      <c r="B144" s="53" t="s">
        <v>250</v>
      </c>
      <c r="C144" s="162" t="s">
        <v>314</v>
      </c>
      <c r="D144" s="163"/>
      <c r="E144" s="163"/>
      <c r="F144" s="163"/>
      <c r="G144" s="53" t="s">
        <v>350</v>
      </c>
      <c r="H144" s="61">
        <v>2</v>
      </c>
      <c r="I144" s="61">
        <v>0</v>
      </c>
      <c r="J144" s="61">
        <f>H144*AO144</f>
        <v>0</v>
      </c>
      <c r="K144" s="61">
        <f>H144*AP144</f>
        <v>0</v>
      </c>
      <c r="L144" s="61">
        <f>H144*I144</f>
        <v>0</v>
      </c>
      <c r="M144" s="71" t="s">
        <v>367</v>
      </c>
      <c r="N144" s="11"/>
      <c r="Z144" s="12">
        <f>IF(AQ144="5",BJ144,0)</f>
        <v>0</v>
      </c>
      <c r="AB144" s="12">
        <f>IF(AQ144="1",BH144,0)</f>
        <v>0</v>
      </c>
      <c r="AC144" s="12">
        <f>IF(AQ144="1",BI144,0)</f>
        <v>0</v>
      </c>
      <c r="AD144" s="12">
        <f>IF(AQ144="7",BH144,0)</f>
        <v>0</v>
      </c>
      <c r="AE144" s="12">
        <f>IF(AQ144="7",BI144,0)</f>
        <v>0</v>
      </c>
      <c r="AF144" s="12">
        <f>IF(AQ144="2",BH144,0)</f>
        <v>0</v>
      </c>
      <c r="AG144" s="12">
        <f>IF(AQ144="2",BI144,0)</f>
        <v>0</v>
      </c>
      <c r="AH144" s="12">
        <f>IF(AQ144="0",BJ144,0)</f>
        <v>0</v>
      </c>
      <c r="AI144" s="73" t="s">
        <v>7</v>
      </c>
      <c r="AJ144" s="61">
        <f>IF(AN144=0,L144,0)</f>
        <v>0</v>
      </c>
      <c r="AK144" s="61">
        <f>IF(AN144=15,L144,0)</f>
        <v>0</v>
      </c>
      <c r="AL144" s="61">
        <f>IF(AN144=21,L144,0)</f>
        <v>0</v>
      </c>
      <c r="AN144" s="12">
        <v>21</v>
      </c>
      <c r="AO144" s="12">
        <f>I144*0.861763846153846</f>
        <v>0</v>
      </c>
      <c r="AP144" s="12">
        <f>I144*(1-0.861763846153846)</f>
        <v>0</v>
      </c>
      <c r="AQ144" s="74" t="s">
        <v>125</v>
      </c>
      <c r="AV144" s="12">
        <f>AW144+AX144</f>
        <v>0</v>
      </c>
      <c r="AW144" s="12">
        <f>H144*AO144</f>
        <v>0</v>
      </c>
      <c r="AX144" s="12">
        <f>H144*AP144</f>
        <v>0</v>
      </c>
      <c r="AY144" s="75" t="s">
        <v>384</v>
      </c>
      <c r="AZ144" s="75" t="s">
        <v>404</v>
      </c>
      <c r="BA144" s="73" t="s">
        <v>409</v>
      </c>
      <c r="BC144" s="12">
        <f>AW144+AX144</f>
        <v>0</v>
      </c>
      <c r="BD144" s="12">
        <f>I144/(100-BE144)*100</f>
        <v>0</v>
      </c>
      <c r="BE144" s="12">
        <v>0</v>
      </c>
      <c r="BF144" s="12">
        <f>144</f>
        <v>144</v>
      </c>
      <c r="BH144" s="61">
        <f>H144*AO144</f>
        <v>0</v>
      </c>
      <c r="BI144" s="61">
        <f>H144*AP144</f>
        <v>0</v>
      </c>
      <c r="BJ144" s="61">
        <f>H144*I144</f>
        <v>0</v>
      </c>
      <c r="BK144" s="61" t="s">
        <v>414</v>
      </c>
      <c r="BL144" s="12">
        <v>767</v>
      </c>
    </row>
    <row r="145" spans="1:14" ht="12.75">
      <c r="A145" s="11"/>
      <c r="B145" s="54" t="s">
        <v>227</v>
      </c>
      <c r="C145" s="164" t="s">
        <v>315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6"/>
      <c r="N145" s="11"/>
    </row>
    <row r="146" spans="1:64" ht="12.75">
      <c r="A146" s="46" t="s">
        <v>200</v>
      </c>
      <c r="B146" s="53" t="s">
        <v>251</v>
      </c>
      <c r="C146" s="162" t="s">
        <v>316</v>
      </c>
      <c r="D146" s="163"/>
      <c r="E146" s="163"/>
      <c r="F146" s="163"/>
      <c r="G146" s="53" t="s">
        <v>350</v>
      </c>
      <c r="H146" s="61">
        <v>5</v>
      </c>
      <c r="I146" s="61">
        <v>0</v>
      </c>
      <c r="J146" s="61">
        <f>H146*AO146</f>
        <v>0</v>
      </c>
      <c r="K146" s="61">
        <f>H146*AP146</f>
        <v>0</v>
      </c>
      <c r="L146" s="61">
        <f>H146*I146</f>
        <v>0</v>
      </c>
      <c r="M146" s="71"/>
      <c r="N146" s="11"/>
      <c r="Z146" s="12">
        <f>IF(AQ146="5",BJ146,0)</f>
        <v>0</v>
      </c>
      <c r="AB146" s="12">
        <f>IF(AQ146="1",BH146,0)</f>
        <v>0</v>
      </c>
      <c r="AC146" s="12">
        <f>IF(AQ146="1",BI146,0)</f>
        <v>0</v>
      </c>
      <c r="AD146" s="12">
        <f>IF(AQ146="7",BH146,0)</f>
        <v>0</v>
      </c>
      <c r="AE146" s="12">
        <f>IF(AQ146="7",BI146,0)</f>
        <v>0</v>
      </c>
      <c r="AF146" s="12">
        <f>IF(AQ146="2",BH146,0)</f>
        <v>0</v>
      </c>
      <c r="AG146" s="12">
        <f>IF(AQ146="2",BI146,0)</f>
        <v>0</v>
      </c>
      <c r="AH146" s="12">
        <f>IF(AQ146="0",BJ146,0)</f>
        <v>0</v>
      </c>
      <c r="AI146" s="73" t="s">
        <v>7</v>
      </c>
      <c r="AJ146" s="61">
        <f>IF(AN146=0,L146,0)</f>
        <v>0</v>
      </c>
      <c r="AK146" s="61">
        <f>IF(AN146=15,L146,0)</f>
        <v>0</v>
      </c>
      <c r="AL146" s="61">
        <f>IF(AN146=21,L146,0)</f>
        <v>0</v>
      </c>
      <c r="AN146" s="12">
        <v>21</v>
      </c>
      <c r="AO146" s="12">
        <f>I146*0</f>
        <v>0</v>
      </c>
      <c r="AP146" s="12">
        <f>I146*(1-0)</f>
        <v>0</v>
      </c>
      <c r="AQ146" s="74" t="s">
        <v>125</v>
      </c>
      <c r="AV146" s="12">
        <f>AW146+AX146</f>
        <v>0</v>
      </c>
      <c r="AW146" s="12">
        <f>H146*AO146</f>
        <v>0</v>
      </c>
      <c r="AX146" s="12">
        <f>H146*AP146</f>
        <v>0</v>
      </c>
      <c r="AY146" s="75" t="s">
        <v>384</v>
      </c>
      <c r="AZ146" s="75" t="s">
        <v>404</v>
      </c>
      <c r="BA146" s="73" t="s">
        <v>409</v>
      </c>
      <c r="BC146" s="12">
        <f>AW146+AX146</f>
        <v>0</v>
      </c>
      <c r="BD146" s="12">
        <f>I146/(100-BE146)*100</f>
        <v>0</v>
      </c>
      <c r="BE146" s="12">
        <v>0</v>
      </c>
      <c r="BF146" s="12">
        <f>146</f>
        <v>146</v>
      </c>
      <c r="BH146" s="61">
        <f>H146*AO146</f>
        <v>0</v>
      </c>
      <c r="BI146" s="61">
        <f>H146*AP146</f>
        <v>0</v>
      </c>
      <c r="BJ146" s="61">
        <f>H146*I146</f>
        <v>0</v>
      </c>
      <c r="BK146" s="61" t="s">
        <v>414</v>
      </c>
      <c r="BL146" s="12">
        <v>767</v>
      </c>
    </row>
    <row r="147" spans="1:47" ht="12.75">
      <c r="A147" s="45"/>
      <c r="B147" s="52" t="s">
        <v>17</v>
      </c>
      <c r="C147" s="160" t="s">
        <v>33</v>
      </c>
      <c r="D147" s="161"/>
      <c r="E147" s="161"/>
      <c r="F147" s="161"/>
      <c r="G147" s="58" t="s">
        <v>44</v>
      </c>
      <c r="H147" s="58" t="s">
        <v>44</v>
      </c>
      <c r="I147" s="58" t="s">
        <v>44</v>
      </c>
      <c r="J147" s="78">
        <f>SUM(J148:J151)</f>
        <v>0</v>
      </c>
      <c r="K147" s="78">
        <f>SUM(K148:K151)</f>
        <v>0</v>
      </c>
      <c r="L147" s="78">
        <f>SUM(L148:L151)</f>
        <v>0</v>
      </c>
      <c r="M147" s="70"/>
      <c r="N147" s="11"/>
      <c r="AI147" s="73" t="s">
        <v>7</v>
      </c>
      <c r="AS147" s="78">
        <f>SUM(AJ148:AJ151)</f>
        <v>0</v>
      </c>
      <c r="AT147" s="78">
        <f>SUM(AK148:AK151)</f>
        <v>0</v>
      </c>
      <c r="AU147" s="78">
        <f>SUM(AL148:AL151)</f>
        <v>0</v>
      </c>
    </row>
    <row r="148" spans="1:64" ht="12.75">
      <c r="A148" s="46" t="s">
        <v>201</v>
      </c>
      <c r="B148" s="53" t="s">
        <v>252</v>
      </c>
      <c r="C148" s="162" t="s">
        <v>317</v>
      </c>
      <c r="D148" s="163"/>
      <c r="E148" s="163"/>
      <c r="F148" s="163"/>
      <c r="G148" s="53" t="s">
        <v>349</v>
      </c>
      <c r="H148" s="61">
        <v>4.13</v>
      </c>
      <c r="I148" s="61">
        <v>0</v>
      </c>
      <c r="J148" s="61">
        <f>H148*AO148</f>
        <v>0</v>
      </c>
      <c r="K148" s="61">
        <f>H148*AP148</f>
        <v>0</v>
      </c>
      <c r="L148" s="61">
        <f>H148*I148</f>
        <v>0</v>
      </c>
      <c r="M148" s="71" t="s">
        <v>367</v>
      </c>
      <c r="N148" s="11"/>
      <c r="Z148" s="12">
        <f>IF(AQ148="5",BJ148,0)</f>
        <v>0</v>
      </c>
      <c r="AB148" s="12">
        <f>IF(AQ148="1",BH148,0)</f>
        <v>0</v>
      </c>
      <c r="AC148" s="12">
        <f>IF(AQ148="1",BI148,0)</f>
        <v>0</v>
      </c>
      <c r="AD148" s="12">
        <f>IF(AQ148="7",BH148,0)</f>
        <v>0</v>
      </c>
      <c r="AE148" s="12">
        <f>IF(AQ148="7",BI148,0)</f>
        <v>0</v>
      </c>
      <c r="AF148" s="12">
        <f>IF(AQ148="2",BH148,0)</f>
        <v>0</v>
      </c>
      <c r="AG148" s="12">
        <f>IF(AQ148="2",BI148,0)</f>
        <v>0</v>
      </c>
      <c r="AH148" s="12">
        <f>IF(AQ148="0",BJ148,0)</f>
        <v>0</v>
      </c>
      <c r="AI148" s="73" t="s">
        <v>7</v>
      </c>
      <c r="AJ148" s="61">
        <f>IF(AN148=0,L148,0)</f>
        <v>0</v>
      </c>
      <c r="AK148" s="61">
        <f>IF(AN148=15,L148,0)</f>
        <v>0</v>
      </c>
      <c r="AL148" s="61">
        <f>IF(AN148=21,L148,0)</f>
        <v>0</v>
      </c>
      <c r="AN148" s="12">
        <v>21</v>
      </c>
      <c r="AO148" s="12">
        <f>I148*0.306296647522198</f>
        <v>0</v>
      </c>
      <c r="AP148" s="12">
        <f>I148*(1-0.306296647522198)</f>
        <v>0</v>
      </c>
      <c r="AQ148" s="74" t="s">
        <v>125</v>
      </c>
      <c r="AV148" s="12">
        <f>AW148+AX148</f>
        <v>0</v>
      </c>
      <c r="AW148" s="12">
        <f>H148*AO148</f>
        <v>0</v>
      </c>
      <c r="AX148" s="12">
        <f>H148*AP148</f>
        <v>0</v>
      </c>
      <c r="AY148" s="75" t="s">
        <v>385</v>
      </c>
      <c r="AZ148" s="75" t="s">
        <v>405</v>
      </c>
      <c r="BA148" s="73" t="s">
        <v>409</v>
      </c>
      <c r="BC148" s="12">
        <f>AW148+AX148</f>
        <v>0</v>
      </c>
      <c r="BD148" s="12">
        <f>I148/(100-BE148)*100</f>
        <v>0</v>
      </c>
      <c r="BE148" s="12">
        <v>0</v>
      </c>
      <c r="BF148" s="12">
        <f>148</f>
        <v>148</v>
      </c>
      <c r="BH148" s="61">
        <f>H148*AO148</f>
        <v>0</v>
      </c>
      <c r="BI148" s="61">
        <f>H148*AP148</f>
        <v>0</v>
      </c>
      <c r="BJ148" s="61">
        <f>H148*I148</f>
        <v>0</v>
      </c>
      <c r="BK148" s="61" t="s">
        <v>414</v>
      </c>
      <c r="BL148" s="12">
        <v>771</v>
      </c>
    </row>
    <row r="149" spans="1:64" ht="12.75">
      <c r="A149" s="46" t="s">
        <v>202</v>
      </c>
      <c r="B149" s="53" t="s">
        <v>253</v>
      </c>
      <c r="C149" s="162" t="s">
        <v>318</v>
      </c>
      <c r="D149" s="163"/>
      <c r="E149" s="163"/>
      <c r="F149" s="163"/>
      <c r="G149" s="53" t="s">
        <v>349</v>
      </c>
      <c r="H149" s="61">
        <v>19.3</v>
      </c>
      <c r="I149" s="61">
        <v>0</v>
      </c>
      <c r="J149" s="61">
        <f>H149*AO149</f>
        <v>0</v>
      </c>
      <c r="K149" s="61">
        <f>H149*AP149</f>
        <v>0</v>
      </c>
      <c r="L149" s="61">
        <f>H149*I149</f>
        <v>0</v>
      </c>
      <c r="M149" s="71" t="s">
        <v>367</v>
      </c>
      <c r="N149" s="11"/>
      <c r="Z149" s="12">
        <f>IF(AQ149="5",BJ149,0)</f>
        <v>0</v>
      </c>
      <c r="AB149" s="12">
        <f>IF(AQ149="1",BH149,0)</f>
        <v>0</v>
      </c>
      <c r="AC149" s="12">
        <f>IF(AQ149="1",BI149,0)</f>
        <v>0</v>
      </c>
      <c r="AD149" s="12">
        <f>IF(AQ149="7",BH149,0)</f>
        <v>0</v>
      </c>
      <c r="AE149" s="12">
        <f>IF(AQ149="7",BI149,0)</f>
        <v>0</v>
      </c>
      <c r="AF149" s="12">
        <f>IF(AQ149="2",BH149,0)</f>
        <v>0</v>
      </c>
      <c r="AG149" s="12">
        <f>IF(AQ149="2",BI149,0)</f>
        <v>0</v>
      </c>
      <c r="AH149" s="12">
        <f>IF(AQ149="0",BJ149,0)</f>
        <v>0</v>
      </c>
      <c r="AI149" s="73" t="s">
        <v>7</v>
      </c>
      <c r="AJ149" s="61">
        <f>IF(AN149=0,L149,0)</f>
        <v>0</v>
      </c>
      <c r="AK149" s="61">
        <f>IF(AN149=15,L149,0)</f>
        <v>0</v>
      </c>
      <c r="AL149" s="61">
        <f>IF(AN149=21,L149,0)</f>
        <v>0</v>
      </c>
      <c r="AN149" s="12">
        <v>21</v>
      </c>
      <c r="AO149" s="12">
        <f>I149*0.111586789614284</f>
        <v>0</v>
      </c>
      <c r="AP149" s="12">
        <f>I149*(1-0.111586789614284)</f>
        <v>0</v>
      </c>
      <c r="AQ149" s="74" t="s">
        <v>125</v>
      </c>
      <c r="AV149" s="12">
        <f>AW149+AX149</f>
        <v>0</v>
      </c>
      <c r="AW149" s="12">
        <f>H149*AO149</f>
        <v>0</v>
      </c>
      <c r="AX149" s="12">
        <f>H149*AP149</f>
        <v>0</v>
      </c>
      <c r="AY149" s="75" t="s">
        <v>385</v>
      </c>
      <c r="AZ149" s="75" t="s">
        <v>405</v>
      </c>
      <c r="BA149" s="73" t="s">
        <v>409</v>
      </c>
      <c r="BC149" s="12">
        <f>AW149+AX149</f>
        <v>0</v>
      </c>
      <c r="BD149" s="12">
        <f>I149/(100-BE149)*100</f>
        <v>0</v>
      </c>
      <c r="BE149" s="12">
        <v>0</v>
      </c>
      <c r="BF149" s="12">
        <f>149</f>
        <v>149</v>
      </c>
      <c r="BH149" s="61">
        <f>H149*AO149</f>
        <v>0</v>
      </c>
      <c r="BI149" s="61">
        <f>H149*AP149</f>
        <v>0</v>
      </c>
      <c r="BJ149" s="61">
        <f>H149*I149</f>
        <v>0</v>
      </c>
      <c r="BK149" s="61" t="s">
        <v>414</v>
      </c>
      <c r="BL149" s="12">
        <v>771</v>
      </c>
    </row>
    <row r="150" spans="1:64" ht="12.75">
      <c r="A150" s="46" t="s">
        <v>203</v>
      </c>
      <c r="B150" s="53" t="s">
        <v>254</v>
      </c>
      <c r="C150" s="162" t="s">
        <v>319</v>
      </c>
      <c r="D150" s="163"/>
      <c r="E150" s="163"/>
      <c r="F150" s="163"/>
      <c r="G150" s="53" t="s">
        <v>349</v>
      </c>
      <c r="H150" s="61">
        <v>4.13</v>
      </c>
      <c r="I150" s="61">
        <v>0</v>
      </c>
      <c r="J150" s="61">
        <f>H150*AO150</f>
        <v>0</v>
      </c>
      <c r="K150" s="61">
        <f>H150*AP150</f>
        <v>0</v>
      </c>
      <c r="L150" s="61">
        <f>H150*I150</f>
        <v>0</v>
      </c>
      <c r="M150" s="71"/>
      <c r="N150" s="11"/>
      <c r="Z150" s="12">
        <f>IF(AQ150="5",BJ150,0)</f>
        <v>0</v>
      </c>
      <c r="AB150" s="12">
        <f>IF(AQ150="1",BH150,0)</f>
        <v>0</v>
      </c>
      <c r="AC150" s="12">
        <f>IF(AQ150="1",BI150,0)</f>
        <v>0</v>
      </c>
      <c r="AD150" s="12">
        <f>IF(AQ150="7",BH150,0)</f>
        <v>0</v>
      </c>
      <c r="AE150" s="12">
        <f>IF(AQ150="7",BI150,0)</f>
        <v>0</v>
      </c>
      <c r="AF150" s="12">
        <f>IF(AQ150="2",BH150,0)</f>
        <v>0</v>
      </c>
      <c r="AG150" s="12">
        <f>IF(AQ150="2",BI150,0)</f>
        <v>0</v>
      </c>
      <c r="AH150" s="12">
        <f>IF(AQ150="0",BJ150,0)</f>
        <v>0</v>
      </c>
      <c r="AI150" s="73" t="s">
        <v>7</v>
      </c>
      <c r="AJ150" s="61">
        <f>IF(AN150=0,L150,0)</f>
        <v>0</v>
      </c>
      <c r="AK150" s="61">
        <f>IF(AN150=15,L150,0)</f>
        <v>0</v>
      </c>
      <c r="AL150" s="61">
        <f>IF(AN150=21,L150,0)</f>
        <v>0</v>
      </c>
      <c r="AN150" s="12">
        <v>21</v>
      </c>
      <c r="AO150" s="12">
        <f>I150*0</f>
        <v>0</v>
      </c>
      <c r="AP150" s="12">
        <f>I150*(1-0)</f>
        <v>0</v>
      </c>
      <c r="AQ150" s="74" t="s">
        <v>120</v>
      </c>
      <c r="AV150" s="12">
        <f>AW150+AX150</f>
        <v>0</v>
      </c>
      <c r="AW150" s="12">
        <f>H150*AO150</f>
        <v>0</v>
      </c>
      <c r="AX150" s="12">
        <f>H150*AP150</f>
        <v>0</v>
      </c>
      <c r="AY150" s="75" t="s">
        <v>385</v>
      </c>
      <c r="AZ150" s="75" t="s">
        <v>405</v>
      </c>
      <c r="BA150" s="73" t="s">
        <v>409</v>
      </c>
      <c r="BC150" s="12">
        <f>AW150+AX150</f>
        <v>0</v>
      </c>
      <c r="BD150" s="12">
        <f>I150/(100-BE150)*100</f>
        <v>0</v>
      </c>
      <c r="BE150" s="12">
        <v>0</v>
      </c>
      <c r="BF150" s="12">
        <f>150</f>
        <v>150</v>
      </c>
      <c r="BH150" s="61">
        <f>H150*AO150</f>
        <v>0</v>
      </c>
      <c r="BI150" s="61">
        <f>H150*AP150</f>
        <v>0</v>
      </c>
      <c r="BJ150" s="61">
        <f>H150*I150</f>
        <v>0</v>
      </c>
      <c r="BK150" s="61" t="s">
        <v>414</v>
      </c>
      <c r="BL150" s="12">
        <v>771</v>
      </c>
    </row>
    <row r="151" spans="1:64" ht="12.75">
      <c r="A151" s="46" t="s">
        <v>204</v>
      </c>
      <c r="B151" s="53" t="s">
        <v>254</v>
      </c>
      <c r="C151" s="162" t="s">
        <v>320</v>
      </c>
      <c r="D151" s="163"/>
      <c r="E151" s="163"/>
      <c r="F151" s="163"/>
      <c r="G151" s="53" t="s">
        <v>349</v>
      </c>
      <c r="H151" s="61">
        <v>19.3</v>
      </c>
      <c r="I151" s="61">
        <v>0</v>
      </c>
      <c r="J151" s="61">
        <f>H151*AO151</f>
        <v>0</v>
      </c>
      <c r="K151" s="61">
        <f>H151*AP151</f>
        <v>0</v>
      </c>
      <c r="L151" s="61">
        <f>H151*I151</f>
        <v>0</v>
      </c>
      <c r="M151" s="71"/>
      <c r="N151" s="11"/>
      <c r="Z151" s="12">
        <f>IF(AQ151="5",BJ151,0)</f>
        <v>0</v>
      </c>
      <c r="AB151" s="12">
        <f>IF(AQ151="1",BH151,0)</f>
        <v>0</v>
      </c>
      <c r="AC151" s="12">
        <f>IF(AQ151="1",BI151,0)</f>
        <v>0</v>
      </c>
      <c r="AD151" s="12">
        <f>IF(AQ151="7",BH151,0)</f>
        <v>0</v>
      </c>
      <c r="AE151" s="12">
        <f>IF(AQ151="7",BI151,0)</f>
        <v>0</v>
      </c>
      <c r="AF151" s="12">
        <f>IF(AQ151="2",BH151,0)</f>
        <v>0</v>
      </c>
      <c r="AG151" s="12">
        <f>IF(AQ151="2",BI151,0)</f>
        <v>0</v>
      </c>
      <c r="AH151" s="12">
        <f>IF(AQ151="0",BJ151,0)</f>
        <v>0</v>
      </c>
      <c r="AI151" s="73" t="s">
        <v>7</v>
      </c>
      <c r="AJ151" s="61">
        <f>IF(AN151=0,L151,0)</f>
        <v>0</v>
      </c>
      <c r="AK151" s="61">
        <f>IF(AN151=15,L151,0)</f>
        <v>0</v>
      </c>
      <c r="AL151" s="61">
        <f>IF(AN151=21,L151,0)</f>
        <v>0</v>
      </c>
      <c r="AN151" s="12">
        <v>21</v>
      </c>
      <c r="AO151" s="12">
        <f>I151*0</f>
        <v>0</v>
      </c>
      <c r="AP151" s="12">
        <f>I151*(1-0)</f>
        <v>0</v>
      </c>
      <c r="AQ151" s="74" t="s">
        <v>120</v>
      </c>
      <c r="AV151" s="12">
        <f>AW151+AX151</f>
        <v>0</v>
      </c>
      <c r="AW151" s="12">
        <f>H151*AO151</f>
        <v>0</v>
      </c>
      <c r="AX151" s="12">
        <f>H151*AP151</f>
        <v>0</v>
      </c>
      <c r="AY151" s="75" t="s">
        <v>385</v>
      </c>
      <c r="AZ151" s="75" t="s">
        <v>405</v>
      </c>
      <c r="BA151" s="73" t="s">
        <v>409</v>
      </c>
      <c r="BC151" s="12">
        <f>AW151+AX151</f>
        <v>0</v>
      </c>
      <c r="BD151" s="12">
        <f>I151/(100-BE151)*100</f>
        <v>0</v>
      </c>
      <c r="BE151" s="12">
        <v>0</v>
      </c>
      <c r="BF151" s="12">
        <f>151</f>
        <v>151</v>
      </c>
      <c r="BH151" s="61">
        <f>H151*AO151</f>
        <v>0</v>
      </c>
      <c r="BI151" s="61">
        <f>H151*AP151</f>
        <v>0</v>
      </c>
      <c r="BJ151" s="61">
        <f>H151*I151</f>
        <v>0</v>
      </c>
      <c r="BK151" s="61" t="s">
        <v>414</v>
      </c>
      <c r="BL151" s="12">
        <v>771</v>
      </c>
    </row>
    <row r="152" spans="1:47" ht="12.75">
      <c r="A152" s="45"/>
      <c r="B152" s="52" t="s">
        <v>18</v>
      </c>
      <c r="C152" s="160" t="s">
        <v>34</v>
      </c>
      <c r="D152" s="161"/>
      <c r="E152" s="161"/>
      <c r="F152" s="161"/>
      <c r="G152" s="58" t="s">
        <v>44</v>
      </c>
      <c r="H152" s="58" t="s">
        <v>44</v>
      </c>
      <c r="I152" s="58" t="s">
        <v>44</v>
      </c>
      <c r="J152" s="78">
        <f>SUM(J153:J155)</f>
        <v>0</v>
      </c>
      <c r="K152" s="78">
        <f>SUM(K153:K155)</f>
        <v>0</v>
      </c>
      <c r="L152" s="78">
        <f>SUM(L153:L155)</f>
        <v>0</v>
      </c>
      <c r="M152" s="70"/>
      <c r="N152" s="11"/>
      <c r="AI152" s="73" t="s">
        <v>7</v>
      </c>
      <c r="AS152" s="78">
        <f>SUM(AJ153:AJ155)</f>
        <v>0</v>
      </c>
      <c r="AT152" s="78">
        <f>SUM(AK153:AK155)</f>
        <v>0</v>
      </c>
      <c r="AU152" s="78">
        <f>SUM(AL153:AL155)</f>
        <v>0</v>
      </c>
    </row>
    <row r="153" spans="1:64" ht="12.75">
      <c r="A153" s="46" t="s">
        <v>205</v>
      </c>
      <c r="B153" s="53" t="s">
        <v>255</v>
      </c>
      <c r="C153" s="162" t="s">
        <v>321</v>
      </c>
      <c r="D153" s="163"/>
      <c r="E153" s="163"/>
      <c r="F153" s="163"/>
      <c r="G153" s="53" t="s">
        <v>349</v>
      </c>
      <c r="H153" s="61">
        <v>220.645</v>
      </c>
      <c r="I153" s="61">
        <v>0</v>
      </c>
      <c r="J153" s="61">
        <f>H153*AO153</f>
        <v>0</v>
      </c>
      <c r="K153" s="61">
        <f>H153*AP153</f>
        <v>0</v>
      </c>
      <c r="L153" s="61">
        <f>H153*I153</f>
        <v>0</v>
      </c>
      <c r="M153" s="71" t="s">
        <v>367</v>
      </c>
      <c r="N153" s="11"/>
      <c r="Z153" s="12">
        <f>IF(AQ153="5",BJ153,0)</f>
        <v>0</v>
      </c>
      <c r="AB153" s="12">
        <f>IF(AQ153="1",BH153,0)</f>
        <v>0</v>
      </c>
      <c r="AC153" s="12">
        <f>IF(AQ153="1",BI153,0)</f>
        <v>0</v>
      </c>
      <c r="AD153" s="12">
        <f>IF(AQ153="7",BH153,0)</f>
        <v>0</v>
      </c>
      <c r="AE153" s="12">
        <f>IF(AQ153="7",BI153,0)</f>
        <v>0</v>
      </c>
      <c r="AF153" s="12">
        <f>IF(AQ153="2",BH153,0)</f>
        <v>0</v>
      </c>
      <c r="AG153" s="12">
        <f>IF(AQ153="2",BI153,0)</f>
        <v>0</v>
      </c>
      <c r="AH153" s="12">
        <f>IF(AQ153="0",BJ153,0)</f>
        <v>0</v>
      </c>
      <c r="AI153" s="73" t="s">
        <v>7</v>
      </c>
      <c r="AJ153" s="61">
        <f>IF(AN153=0,L153,0)</f>
        <v>0</v>
      </c>
      <c r="AK153" s="61">
        <f>IF(AN153=15,L153,0)</f>
        <v>0</v>
      </c>
      <c r="AL153" s="61">
        <f>IF(AN153=21,L153,0)</f>
        <v>0</v>
      </c>
      <c r="AN153" s="12">
        <v>21</v>
      </c>
      <c r="AO153" s="12">
        <f>I153*0.153533149455812</f>
        <v>0</v>
      </c>
      <c r="AP153" s="12">
        <f>I153*(1-0.153533149455812)</f>
        <v>0</v>
      </c>
      <c r="AQ153" s="74" t="s">
        <v>125</v>
      </c>
      <c r="AV153" s="12">
        <f>AW153+AX153</f>
        <v>0</v>
      </c>
      <c r="AW153" s="12">
        <f>H153*AO153</f>
        <v>0</v>
      </c>
      <c r="AX153" s="12">
        <f>H153*AP153</f>
        <v>0</v>
      </c>
      <c r="AY153" s="75" t="s">
        <v>386</v>
      </c>
      <c r="AZ153" s="75" t="s">
        <v>406</v>
      </c>
      <c r="BA153" s="73" t="s">
        <v>409</v>
      </c>
      <c r="BC153" s="12">
        <f>AW153+AX153</f>
        <v>0</v>
      </c>
      <c r="BD153" s="12">
        <f>I153/(100-BE153)*100</f>
        <v>0</v>
      </c>
      <c r="BE153" s="12">
        <v>0</v>
      </c>
      <c r="BF153" s="12">
        <f>153</f>
        <v>153</v>
      </c>
      <c r="BH153" s="61">
        <f>H153*AO153</f>
        <v>0</v>
      </c>
      <c r="BI153" s="61">
        <f>H153*AP153</f>
        <v>0</v>
      </c>
      <c r="BJ153" s="61">
        <f>H153*I153</f>
        <v>0</v>
      </c>
      <c r="BK153" s="61" t="s">
        <v>414</v>
      </c>
      <c r="BL153" s="12">
        <v>784</v>
      </c>
    </row>
    <row r="154" spans="1:14" ht="12.75">
      <c r="A154" s="11"/>
      <c r="B154" s="54" t="s">
        <v>227</v>
      </c>
      <c r="C154" s="164" t="s">
        <v>322</v>
      </c>
      <c r="D154" s="165"/>
      <c r="E154" s="165"/>
      <c r="F154" s="165"/>
      <c r="G154" s="165"/>
      <c r="H154" s="165"/>
      <c r="I154" s="165"/>
      <c r="J154" s="165"/>
      <c r="K154" s="165"/>
      <c r="L154" s="165"/>
      <c r="M154" s="166"/>
      <c r="N154" s="11"/>
    </row>
    <row r="155" spans="1:64" ht="12.75">
      <c r="A155" s="46" t="s">
        <v>206</v>
      </c>
      <c r="B155" s="53" t="s">
        <v>256</v>
      </c>
      <c r="C155" s="162" t="s">
        <v>323</v>
      </c>
      <c r="D155" s="163"/>
      <c r="E155" s="163"/>
      <c r="F155" s="163"/>
      <c r="G155" s="53" t="s">
        <v>349</v>
      </c>
      <c r="H155" s="61">
        <v>220.645</v>
      </c>
      <c r="I155" s="61">
        <v>0</v>
      </c>
      <c r="J155" s="61">
        <f>H155*AO155</f>
        <v>0</v>
      </c>
      <c r="K155" s="61">
        <f>H155*AP155</f>
        <v>0</v>
      </c>
      <c r="L155" s="61">
        <f>H155*I155</f>
        <v>0</v>
      </c>
      <c r="M155" s="71" t="s">
        <v>367</v>
      </c>
      <c r="N155" s="11"/>
      <c r="Z155" s="12">
        <f>IF(AQ155="5",BJ155,0)</f>
        <v>0</v>
      </c>
      <c r="AB155" s="12">
        <f>IF(AQ155="1",BH155,0)</f>
        <v>0</v>
      </c>
      <c r="AC155" s="12">
        <f>IF(AQ155="1",BI155,0)</f>
        <v>0</v>
      </c>
      <c r="AD155" s="12">
        <f>IF(AQ155="7",BH155,0)</f>
        <v>0</v>
      </c>
      <c r="AE155" s="12">
        <f>IF(AQ155="7",BI155,0)</f>
        <v>0</v>
      </c>
      <c r="AF155" s="12">
        <f>IF(AQ155="2",BH155,0)</f>
        <v>0</v>
      </c>
      <c r="AG155" s="12">
        <f>IF(AQ155="2",BI155,0)</f>
        <v>0</v>
      </c>
      <c r="AH155" s="12">
        <f>IF(AQ155="0",BJ155,0)</f>
        <v>0</v>
      </c>
      <c r="AI155" s="73" t="s">
        <v>7</v>
      </c>
      <c r="AJ155" s="61">
        <f>IF(AN155=0,L155,0)</f>
        <v>0</v>
      </c>
      <c r="AK155" s="61">
        <f>IF(AN155=15,L155,0)</f>
        <v>0</v>
      </c>
      <c r="AL155" s="61">
        <f>IF(AN155=21,L155,0)</f>
        <v>0</v>
      </c>
      <c r="AN155" s="12">
        <v>21</v>
      </c>
      <c r="AO155" s="12">
        <f>I155*0.169267014973363</f>
        <v>0</v>
      </c>
      <c r="AP155" s="12">
        <f>I155*(1-0.169267014973363)</f>
        <v>0</v>
      </c>
      <c r="AQ155" s="74" t="s">
        <v>125</v>
      </c>
      <c r="AV155" s="12">
        <f>AW155+AX155</f>
        <v>0</v>
      </c>
      <c r="AW155" s="12">
        <f>H155*AO155</f>
        <v>0</v>
      </c>
      <c r="AX155" s="12">
        <f>H155*AP155</f>
        <v>0</v>
      </c>
      <c r="AY155" s="75" t="s">
        <v>386</v>
      </c>
      <c r="AZ155" s="75" t="s">
        <v>406</v>
      </c>
      <c r="BA155" s="73" t="s">
        <v>409</v>
      </c>
      <c r="BC155" s="12">
        <f>AW155+AX155</f>
        <v>0</v>
      </c>
      <c r="BD155" s="12">
        <f>I155/(100-BE155)*100</f>
        <v>0</v>
      </c>
      <c r="BE155" s="12">
        <v>0</v>
      </c>
      <c r="BF155" s="12">
        <f>155</f>
        <v>155</v>
      </c>
      <c r="BH155" s="61">
        <f>H155*AO155</f>
        <v>0</v>
      </c>
      <c r="BI155" s="61">
        <f>H155*AP155</f>
        <v>0</v>
      </c>
      <c r="BJ155" s="61">
        <f>H155*I155</f>
        <v>0</v>
      </c>
      <c r="BK155" s="61" t="s">
        <v>414</v>
      </c>
      <c r="BL155" s="12">
        <v>784</v>
      </c>
    </row>
    <row r="156" spans="1:47" ht="12.75">
      <c r="A156" s="45"/>
      <c r="B156" s="52" t="s">
        <v>19</v>
      </c>
      <c r="C156" s="160" t="s">
        <v>35</v>
      </c>
      <c r="D156" s="161"/>
      <c r="E156" s="161"/>
      <c r="F156" s="161"/>
      <c r="G156" s="58" t="s">
        <v>44</v>
      </c>
      <c r="H156" s="58" t="s">
        <v>44</v>
      </c>
      <c r="I156" s="58" t="s">
        <v>44</v>
      </c>
      <c r="J156" s="78">
        <f>SUM(J157:J157)</f>
        <v>0</v>
      </c>
      <c r="K156" s="78">
        <f>SUM(K157:K157)</f>
        <v>0</v>
      </c>
      <c r="L156" s="78">
        <f>SUM(L157:L157)</f>
        <v>0</v>
      </c>
      <c r="M156" s="70"/>
      <c r="N156" s="11"/>
      <c r="AI156" s="73" t="s">
        <v>7</v>
      </c>
      <c r="AS156" s="78">
        <f>SUM(AJ157:AJ157)</f>
        <v>0</v>
      </c>
      <c r="AT156" s="78">
        <f>SUM(AK157:AK157)</f>
        <v>0</v>
      </c>
      <c r="AU156" s="78">
        <f>SUM(AL157:AL157)</f>
        <v>0</v>
      </c>
    </row>
    <row r="157" spans="1:64" ht="12.75">
      <c r="A157" s="46" t="s">
        <v>207</v>
      </c>
      <c r="B157" s="53" t="s">
        <v>257</v>
      </c>
      <c r="C157" s="162" t="s">
        <v>324</v>
      </c>
      <c r="D157" s="163"/>
      <c r="E157" s="163"/>
      <c r="F157" s="163"/>
      <c r="G157" s="53" t="s">
        <v>349</v>
      </c>
      <c r="H157" s="61">
        <v>81.08</v>
      </c>
      <c r="I157" s="61">
        <v>0</v>
      </c>
      <c r="J157" s="61">
        <f>H157*AO157</f>
        <v>0</v>
      </c>
      <c r="K157" s="61">
        <f>H157*AP157</f>
        <v>0</v>
      </c>
      <c r="L157" s="61">
        <f>H157*I157</f>
        <v>0</v>
      </c>
      <c r="M157" s="71" t="s">
        <v>367</v>
      </c>
      <c r="N157" s="11"/>
      <c r="Z157" s="12">
        <f>IF(AQ157="5",BJ157,0)</f>
        <v>0</v>
      </c>
      <c r="AB157" s="12">
        <f>IF(AQ157="1",BH157,0)</f>
        <v>0</v>
      </c>
      <c r="AC157" s="12">
        <f>IF(AQ157="1",BI157,0)</f>
        <v>0</v>
      </c>
      <c r="AD157" s="12">
        <f>IF(AQ157="7",BH157,0)</f>
        <v>0</v>
      </c>
      <c r="AE157" s="12">
        <f>IF(AQ157="7",BI157,0)</f>
        <v>0</v>
      </c>
      <c r="AF157" s="12">
        <f>IF(AQ157="2",BH157,0)</f>
        <v>0</v>
      </c>
      <c r="AG157" s="12">
        <f>IF(AQ157="2",BI157,0)</f>
        <v>0</v>
      </c>
      <c r="AH157" s="12">
        <f>IF(AQ157="0",BJ157,0)</f>
        <v>0</v>
      </c>
      <c r="AI157" s="73" t="s">
        <v>7</v>
      </c>
      <c r="AJ157" s="61">
        <f>IF(AN157=0,L157,0)</f>
        <v>0</v>
      </c>
      <c r="AK157" s="61">
        <f>IF(AN157=15,L157,0)</f>
        <v>0</v>
      </c>
      <c r="AL157" s="61">
        <f>IF(AN157=21,L157,0)</f>
        <v>0</v>
      </c>
      <c r="AN157" s="12">
        <v>21</v>
      </c>
      <c r="AO157" s="12">
        <f>I157*0.330537346655495</f>
        <v>0</v>
      </c>
      <c r="AP157" s="12">
        <f>I157*(1-0.330537346655495)</f>
        <v>0</v>
      </c>
      <c r="AQ157" s="74" t="s">
        <v>119</v>
      </c>
      <c r="AV157" s="12">
        <f>AW157+AX157</f>
        <v>0</v>
      </c>
      <c r="AW157" s="12">
        <f>H157*AO157</f>
        <v>0</v>
      </c>
      <c r="AX157" s="12">
        <f>H157*AP157</f>
        <v>0</v>
      </c>
      <c r="AY157" s="75" t="s">
        <v>387</v>
      </c>
      <c r="AZ157" s="75" t="s">
        <v>407</v>
      </c>
      <c r="BA157" s="73" t="s">
        <v>409</v>
      </c>
      <c r="BC157" s="12">
        <f>AW157+AX157</f>
        <v>0</v>
      </c>
      <c r="BD157" s="12">
        <f>I157/(100-BE157)*100</f>
        <v>0</v>
      </c>
      <c r="BE157" s="12">
        <v>0</v>
      </c>
      <c r="BF157" s="12">
        <f>157</f>
        <v>157</v>
      </c>
      <c r="BH157" s="61">
        <f>H157*AO157</f>
        <v>0</v>
      </c>
      <c r="BI157" s="61">
        <f>H157*AP157</f>
        <v>0</v>
      </c>
      <c r="BJ157" s="61">
        <f>H157*I157</f>
        <v>0</v>
      </c>
      <c r="BK157" s="61" t="s">
        <v>414</v>
      </c>
      <c r="BL157" s="12">
        <v>94</v>
      </c>
    </row>
    <row r="158" spans="1:47" ht="12.75">
      <c r="A158" s="45"/>
      <c r="B158" s="52" t="s">
        <v>20</v>
      </c>
      <c r="C158" s="160" t="s">
        <v>36</v>
      </c>
      <c r="D158" s="161"/>
      <c r="E158" s="161"/>
      <c r="F158" s="161"/>
      <c r="G158" s="58" t="s">
        <v>44</v>
      </c>
      <c r="H158" s="58" t="s">
        <v>44</v>
      </c>
      <c r="I158" s="58" t="s">
        <v>44</v>
      </c>
      <c r="J158" s="78">
        <f>SUM(J159:J172)</f>
        <v>0</v>
      </c>
      <c r="K158" s="78">
        <f>SUM(K159:K172)</f>
        <v>0</v>
      </c>
      <c r="L158" s="78">
        <f>SUM(L159:L172)</f>
        <v>0</v>
      </c>
      <c r="M158" s="70"/>
      <c r="N158" s="11"/>
      <c r="AI158" s="73" t="s">
        <v>7</v>
      </c>
      <c r="AS158" s="78">
        <f>SUM(AJ159:AJ172)</f>
        <v>0</v>
      </c>
      <c r="AT158" s="78">
        <f>SUM(AK159:AK172)</f>
        <v>0</v>
      </c>
      <c r="AU158" s="78">
        <f>SUM(AL159:AL172)</f>
        <v>0</v>
      </c>
    </row>
    <row r="159" spans="1:64" ht="12.75">
      <c r="A159" s="46" t="s">
        <v>19</v>
      </c>
      <c r="B159" s="53" t="s">
        <v>258</v>
      </c>
      <c r="C159" s="162" t="s">
        <v>325</v>
      </c>
      <c r="D159" s="163"/>
      <c r="E159" s="163"/>
      <c r="F159" s="163"/>
      <c r="G159" s="53" t="s">
        <v>350</v>
      </c>
      <c r="H159" s="61">
        <v>6</v>
      </c>
      <c r="I159" s="61">
        <v>0</v>
      </c>
      <c r="J159" s="61">
        <f aca="true" t="shared" si="88" ref="J159:J165">H159*AO159</f>
        <v>0</v>
      </c>
      <c r="K159" s="61">
        <f aca="true" t="shared" si="89" ref="K159:K165">H159*AP159</f>
        <v>0</v>
      </c>
      <c r="L159" s="61">
        <f aca="true" t="shared" si="90" ref="L159:L165">H159*I159</f>
        <v>0</v>
      </c>
      <c r="M159" s="71" t="s">
        <v>367</v>
      </c>
      <c r="N159" s="11"/>
      <c r="Z159" s="12">
        <f aca="true" t="shared" si="91" ref="Z159:Z165">IF(AQ159="5",BJ159,0)</f>
        <v>0</v>
      </c>
      <c r="AB159" s="12">
        <f aca="true" t="shared" si="92" ref="AB159:AB165">IF(AQ159="1",BH159,0)</f>
        <v>0</v>
      </c>
      <c r="AC159" s="12">
        <f aca="true" t="shared" si="93" ref="AC159:AC165">IF(AQ159="1",BI159,0)</f>
        <v>0</v>
      </c>
      <c r="AD159" s="12">
        <f aca="true" t="shared" si="94" ref="AD159:AD165">IF(AQ159="7",BH159,0)</f>
        <v>0</v>
      </c>
      <c r="AE159" s="12">
        <f aca="true" t="shared" si="95" ref="AE159:AE165">IF(AQ159="7",BI159,0)</f>
        <v>0</v>
      </c>
      <c r="AF159" s="12">
        <f aca="true" t="shared" si="96" ref="AF159:AF165">IF(AQ159="2",BH159,0)</f>
        <v>0</v>
      </c>
      <c r="AG159" s="12">
        <f aca="true" t="shared" si="97" ref="AG159:AG165">IF(AQ159="2",BI159,0)</f>
        <v>0</v>
      </c>
      <c r="AH159" s="12">
        <f aca="true" t="shared" si="98" ref="AH159:AH165">IF(AQ159="0",BJ159,0)</f>
        <v>0</v>
      </c>
      <c r="AI159" s="73" t="s">
        <v>7</v>
      </c>
      <c r="AJ159" s="61">
        <f aca="true" t="shared" si="99" ref="AJ159:AJ165">IF(AN159=0,L159,0)</f>
        <v>0</v>
      </c>
      <c r="AK159" s="61">
        <f aca="true" t="shared" si="100" ref="AK159:AK165">IF(AN159=15,L159,0)</f>
        <v>0</v>
      </c>
      <c r="AL159" s="61">
        <f aca="true" t="shared" si="101" ref="AL159:AL165">IF(AN159=21,L159,0)</f>
        <v>0</v>
      </c>
      <c r="AN159" s="12">
        <v>21</v>
      </c>
      <c r="AO159" s="12">
        <f>I159*0.0586312641183226</f>
        <v>0</v>
      </c>
      <c r="AP159" s="12">
        <f>I159*(1-0.0586312641183226)</f>
        <v>0</v>
      </c>
      <c r="AQ159" s="74" t="s">
        <v>119</v>
      </c>
      <c r="AV159" s="12">
        <f aca="true" t="shared" si="102" ref="AV159:AV165">AW159+AX159</f>
        <v>0</v>
      </c>
      <c r="AW159" s="12">
        <f aca="true" t="shared" si="103" ref="AW159:AW165">H159*AO159</f>
        <v>0</v>
      </c>
      <c r="AX159" s="12">
        <f aca="true" t="shared" si="104" ref="AX159:AX165">H159*AP159</f>
        <v>0</v>
      </c>
      <c r="AY159" s="75" t="s">
        <v>388</v>
      </c>
      <c r="AZ159" s="75" t="s">
        <v>407</v>
      </c>
      <c r="BA159" s="73" t="s">
        <v>409</v>
      </c>
      <c r="BC159" s="12">
        <f aca="true" t="shared" si="105" ref="BC159:BC165">AW159+AX159</f>
        <v>0</v>
      </c>
      <c r="BD159" s="12">
        <f aca="true" t="shared" si="106" ref="BD159:BD165">I159/(100-BE159)*100</f>
        <v>0</v>
      </c>
      <c r="BE159" s="12">
        <v>0</v>
      </c>
      <c r="BF159" s="12">
        <f>159</f>
        <v>159</v>
      </c>
      <c r="BH159" s="61">
        <f aca="true" t="shared" si="107" ref="BH159:BH165">H159*AO159</f>
        <v>0</v>
      </c>
      <c r="BI159" s="61">
        <f aca="true" t="shared" si="108" ref="BI159:BI165">H159*AP159</f>
        <v>0</v>
      </c>
      <c r="BJ159" s="61">
        <f aca="true" t="shared" si="109" ref="BJ159:BJ165">H159*I159</f>
        <v>0</v>
      </c>
      <c r="BK159" s="61" t="s">
        <v>414</v>
      </c>
      <c r="BL159" s="12">
        <v>96</v>
      </c>
    </row>
    <row r="160" spans="1:64" ht="12.75">
      <c r="A160" s="46" t="s">
        <v>208</v>
      </c>
      <c r="B160" s="53" t="s">
        <v>259</v>
      </c>
      <c r="C160" s="162" t="s">
        <v>326</v>
      </c>
      <c r="D160" s="163"/>
      <c r="E160" s="163"/>
      <c r="F160" s="163"/>
      <c r="G160" s="53" t="s">
        <v>349</v>
      </c>
      <c r="H160" s="61">
        <v>213.545</v>
      </c>
      <c r="I160" s="61">
        <v>0</v>
      </c>
      <c r="J160" s="61">
        <f t="shared" si="88"/>
        <v>0</v>
      </c>
      <c r="K160" s="61">
        <f t="shared" si="89"/>
        <v>0</v>
      </c>
      <c r="L160" s="61">
        <f t="shared" si="90"/>
        <v>0</v>
      </c>
      <c r="M160" s="71" t="s">
        <v>367</v>
      </c>
      <c r="N160" s="11"/>
      <c r="Z160" s="12">
        <f t="shared" si="91"/>
        <v>0</v>
      </c>
      <c r="AB160" s="12">
        <f t="shared" si="92"/>
        <v>0</v>
      </c>
      <c r="AC160" s="12">
        <f t="shared" si="93"/>
        <v>0</v>
      </c>
      <c r="AD160" s="12">
        <f t="shared" si="94"/>
        <v>0</v>
      </c>
      <c r="AE160" s="12">
        <f t="shared" si="95"/>
        <v>0</v>
      </c>
      <c r="AF160" s="12">
        <f t="shared" si="96"/>
        <v>0</v>
      </c>
      <c r="AG160" s="12">
        <f t="shared" si="97"/>
        <v>0</v>
      </c>
      <c r="AH160" s="12">
        <f t="shared" si="98"/>
        <v>0</v>
      </c>
      <c r="AI160" s="73" t="s">
        <v>7</v>
      </c>
      <c r="AJ160" s="61">
        <f t="shared" si="99"/>
        <v>0</v>
      </c>
      <c r="AK160" s="61">
        <f t="shared" si="100"/>
        <v>0</v>
      </c>
      <c r="AL160" s="61">
        <f t="shared" si="101"/>
        <v>0</v>
      </c>
      <c r="AN160" s="12">
        <v>21</v>
      </c>
      <c r="AO160" s="12">
        <f>I160*0.00585729514072874</f>
        <v>0</v>
      </c>
      <c r="AP160" s="12">
        <f>I160*(1-0.00585729514072874)</f>
        <v>0</v>
      </c>
      <c r="AQ160" s="74" t="s">
        <v>119</v>
      </c>
      <c r="AV160" s="12">
        <f t="shared" si="102"/>
        <v>0</v>
      </c>
      <c r="AW160" s="12">
        <f t="shared" si="103"/>
        <v>0</v>
      </c>
      <c r="AX160" s="12">
        <f t="shared" si="104"/>
        <v>0</v>
      </c>
      <c r="AY160" s="75" t="s">
        <v>388</v>
      </c>
      <c r="AZ160" s="75" t="s">
        <v>407</v>
      </c>
      <c r="BA160" s="73" t="s">
        <v>409</v>
      </c>
      <c r="BC160" s="12">
        <f t="shared" si="105"/>
        <v>0</v>
      </c>
      <c r="BD160" s="12">
        <f t="shared" si="106"/>
        <v>0</v>
      </c>
      <c r="BE160" s="12">
        <v>0</v>
      </c>
      <c r="BF160" s="12">
        <f>160</f>
        <v>160</v>
      </c>
      <c r="BH160" s="61">
        <f t="shared" si="107"/>
        <v>0</v>
      </c>
      <c r="BI160" s="61">
        <f t="shared" si="108"/>
        <v>0</v>
      </c>
      <c r="BJ160" s="61">
        <f t="shared" si="109"/>
        <v>0</v>
      </c>
      <c r="BK160" s="61" t="s">
        <v>414</v>
      </c>
      <c r="BL160" s="12">
        <v>96</v>
      </c>
    </row>
    <row r="161" spans="1:64" ht="12.75">
      <c r="A161" s="46" t="s">
        <v>20</v>
      </c>
      <c r="B161" s="53" t="s">
        <v>260</v>
      </c>
      <c r="C161" s="162" t="s">
        <v>327</v>
      </c>
      <c r="D161" s="163"/>
      <c r="E161" s="163"/>
      <c r="F161" s="163"/>
      <c r="G161" s="53" t="s">
        <v>351</v>
      </c>
      <c r="H161" s="61">
        <v>0.60275</v>
      </c>
      <c r="I161" s="61">
        <v>0</v>
      </c>
      <c r="J161" s="61">
        <f t="shared" si="88"/>
        <v>0</v>
      </c>
      <c r="K161" s="61">
        <f t="shared" si="89"/>
        <v>0</v>
      </c>
      <c r="L161" s="61">
        <f t="shared" si="90"/>
        <v>0</v>
      </c>
      <c r="M161" s="71" t="s">
        <v>367</v>
      </c>
      <c r="N161" s="11"/>
      <c r="Z161" s="12">
        <f t="shared" si="91"/>
        <v>0</v>
      </c>
      <c r="AB161" s="12">
        <f t="shared" si="92"/>
        <v>0</v>
      </c>
      <c r="AC161" s="12">
        <f t="shared" si="93"/>
        <v>0</v>
      </c>
      <c r="AD161" s="12">
        <f t="shared" si="94"/>
        <v>0</v>
      </c>
      <c r="AE161" s="12">
        <f t="shared" si="95"/>
        <v>0</v>
      </c>
      <c r="AF161" s="12">
        <f t="shared" si="96"/>
        <v>0</v>
      </c>
      <c r="AG161" s="12">
        <f t="shared" si="97"/>
        <v>0</v>
      </c>
      <c r="AH161" s="12">
        <f t="shared" si="98"/>
        <v>0</v>
      </c>
      <c r="AI161" s="73" t="s">
        <v>7</v>
      </c>
      <c r="AJ161" s="61">
        <f t="shared" si="99"/>
        <v>0</v>
      </c>
      <c r="AK161" s="61">
        <f t="shared" si="100"/>
        <v>0</v>
      </c>
      <c r="AL161" s="61">
        <f t="shared" si="101"/>
        <v>0</v>
      </c>
      <c r="AN161" s="12">
        <v>21</v>
      </c>
      <c r="AO161" s="12">
        <f>I161*0.0219746369165839</f>
        <v>0</v>
      </c>
      <c r="AP161" s="12">
        <f>I161*(1-0.0219746369165839)</f>
        <v>0</v>
      </c>
      <c r="AQ161" s="74" t="s">
        <v>119</v>
      </c>
      <c r="AV161" s="12">
        <f t="shared" si="102"/>
        <v>0</v>
      </c>
      <c r="AW161" s="12">
        <f t="shared" si="103"/>
        <v>0</v>
      </c>
      <c r="AX161" s="12">
        <f t="shared" si="104"/>
        <v>0</v>
      </c>
      <c r="AY161" s="75" t="s">
        <v>388</v>
      </c>
      <c r="AZ161" s="75" t="s">
        <v>407</v>
      </c>
      <c r="BA161" s="73" t="s">
        <v>409</v>
      </c>
      <c r="BC161" s="12">
        <f t="shared" si="105"/>
        <v>0</v>
      </c>
      <c r="BD161" s="12">
        <f t="shared" si="106"/>
        <v>0</v>
      </c>
      <c r="BE161" s="12">
        <v>0</v>
      </c>
      <c r="BF161" s="12">
        <f>161</f>
        <v>161</v>
      </c>
      <c r="BH161" s="61">
        <f t="shared" si="107"/>
        <v>0</v>
      </c>
      <c r="BI161" s="61">
        <f t="shared" si="108"/>
        <v>0</v>
      </c>
      <c r="BJ161" s="61">
        <f t="shared" si="109"/>
        <v>0</v>
      </c>
      <c r="BK161" s="61" t="s">
        <v>414</v>
      </c>
      <c r="BL161" s="12">
        <v>96</v>
      </c>
    </row>
    <row r="162" spans="1:64" ht="12.75">
      <c r="A162" s="46" t="s">
        <v>21</v>
      </c>
      <c r="B162" s="53" t="s">
        <v>261</v>
      </c>
      <c r="C162" s="162" t="s">
        <v>328</v>
      </c>
      <c r="D162" s="163"/>
      <c r="E162" s="163"/>
      <c r="F162" s="163"/>
      <c r="G162" s="53" t="s">
        <v>349</v>
      </c>
      <c r="H162" s="61">
        <v>3.4</v>
      </c>
      <c r="I162" s="61">
        <v>0</v>
      </c>
      <c r="J162" s="61">
        <f t="shared" si="88"/>
        <v>0</v>
      </c>
      <c r="K162" s="61">
        <f t="shared" si="89"/>
        <v>0</v>
      </c>
      <c r="L162" s="61">
        <f t="shared" si="90"/>
        <v>0</v>
      </c>
      <c r="M162" s="71" t="s">
        <v>367</v>
      </c>
      <c r="N162" s="11"/>
      <c r="Z162" s="12">
        <f t="shared" si="91"/>
        <v>0</v>
      </c>
      <c r="AB162" s="12">
        <f t="shared" si="92"/>
        <v>0</v>
      </c>
      <c r="AC162" s="12">
        <f t="shared" si="93"/>
        <v>0</v>
      </c>
      <c r="AD162" s="12">
        <f t="shared" si="94"/>
        <v>0</v>
      </c>
      <c r="AE162" s="12">
        <f t="shared" si="95"/>
        <v>0</v>
      </c>
      <c r="AF162" s="12">
        <f t="shared" si="96"/>
        <v>0</v>
      </c>
      <c r="AG162" s="12">
        <f t="shared" si="97"/>
        <v>0</v>
      </c>
      <c r="AH162" s="12">
        <f t="shared" si="98"/>
        <v>0</v>
      </c>
      <c r="AI162" s="73" t="s">
        <v>7</v>
      </c>
      <c r="AJ162" s="61">
        <f t="shared" si="99"/>
        <v>0</v>
      </c>
      <c r="AK162" s="61">
        <f t="shared" si="100"/>
        <v>0</v>
      </c>
      <c r="AL162" s="61">
        <f t="shared" si="101"/>
        <v>0</v>
      </c>
      <c r="AN162" s="12">
        <v>21</v>
      </c>
      <c r="AO162" s="12">
        <f>I162*0</f>
        <v>0</v>
      </c>
      <c r="AP162" s="12">
        <f>I162*(1-0)</f>
        <v>0</v>
      </c>
      <c r="AQ162" s="74" t="s">
        <v>119</v>
      </c>
      <c r="AV162" s="12">
        <f t="shared" si="102"/>
        <v>0</v>
      </c>
      <c r="AW162" s="12">
        <f t="shared" si="103"/>
        <v>0</v>
      </c>
      <c r="AX162" s="12">
        <f t="shared" si="104"/>
        <v>0</v>
      </c>
      <c r="AY162" s="75" t="s">
        <v>388</v>
      </c>
      <c r="AZ162" s="75" t="s">
        <v>407</v>
      </c>
      <c r="BA162" s="73" t="s">
        <v>409</v>
      </c>
      <c r="BC162" s="12">
        <f t="shared" si="105"/>
        <v>0</v>
      </c>
      <c r="BD162" s="12">
        <f t="shared" si="106"/>
        <v>0</v>
      </c>
      <c r="BE162" s="12">
        <v>0</v>
      </c>
      <c r="BF162" s="12">
        <f>162</f>
        <v>162</v>
      </c>
      <c r="BH162" s="61">
        <f t="shared" si="107"/>
        <v>0</v>
      </c>
      <c r="BI162" s="61">
        <f t="shared" si="108"/>
        <v>0</v>
      </c>
      <c r="BJ162" s="61">
        <f t="shared" si="109"/>
        <v>0</v>
      </c>
      <c r="BK162" s="61" t="s">
        <v>414</v>
      </c>
      <c r="BL162" s="12">
        <v>96</v>
      </c>
    </row>
    <row r="163" spans="1:64" ht="12.75">
      <c r="A163" s="46" t="s">
        <v>209</v>
      </c>
      <c r="B163" s="53" t="s">
        <v>262</v>
      </c>
      <c r="C163" s="162" t="s">
        <v>329</v>
      </c>
      <c r="D163" s="163"/>
      <c r="E163" s="163"/>
      <c r="F163" s="163"/>
      <c r="G163" s="53" t="s">
        <v>349</v>
      </c>
      <c r="H163" s="61">
        <v>2.85</v>
      </c>
      <c r="I163" s="61">
        <v>0</v>
      </c>
      <c r="J163" s="61">
        <f t="shared" si="88"/>
        <v>0</v>
      </c>
      <c r="K163" s="61">
        <f t="shared" si="89"/>
        <v>0</v>
      </c>
      <c r="L163" s="61">
        <f t="shared" si="90"/>
        <v>0</v>
      </c>
      <c r="M163" s="71" t="s">
        <v>367</v>
      </c>
      <c r="N163" s="11"/>
      <c r="Z163" s="12">
        <f t="shared" si="91"/>
        <v>0</v>
      </c>
      <c r="AB163" s="12">
        <f t="shared" si="92"/>
        <v>0</v>
      </c>
      <c r="AC163" s="12">
        <f t="shared" si="93"/>
        <v>0</v>
      </c>
      <c r="AD163" s="12">
        <f t="shared" si="94"/>
        <v>0</v>
      </c>
      <c r="AE163" s="12">
        <f t="shared" si="95"/>
        <v>0</v>
      </c>
      <c r="AF163" s="12">
        <f t="shared" si="96"/>
        <v>0</v>
      </c>
      <c r="AG163" s="12">
        <f t="shared" si="97"/>
        <v>0</v>
      </c>
      <c r="AH163" s="12">
        <f t="shared" si="98"/>
        <v>0</v>
      </c>
      <c r="AI163" s="73" t="s">
        <v>7</v>
      </c>
      <c r="AJ163" s="61">
        <f t="shared" si="99"/>
        <v>0</v>
      </c>
      <c r="AK163" s="61">
        <f t="shared" si="100"/>
        <v>0</v>
      </c>
      <c r="AL163" s="61">
        <f t="shared" si="101"/>
        <v>0</v>
      </c>
      <c r="AN163" s="12">
        <v>21</v>
      </c>
      <c r="AO163" s="12">
        <f>I163*0</f>
        <v>0</v>
      </c>
      <c r="AP163" s="12">
        <f>I163*(1-0)</f>
        <v>0</v>
      </c>
      <c r="AQ163" s="74" t="s">
        <v>119</v>
      </c>
      <c r="AV163" s="12">
        <f t="shared" si="102"/>
        <v>0</v>
      </c>
      <c r="AW163" s="12">
        <f t="shared" si="103"/>
        <v>0</v>
      </c>
      <c r="AX163" s="12">
        <f t="shared" si="104"/>
        <v>0</v>
      </c>
      <c r="AY163" s="75" t="s">
        <v>388</v>
      </c>
      <c r="AZ163" s="75" t="s">
        <v>407</v>
      </c>
      <c r="BA163" s="73" t="s">
        <v>409</v>
      </c>
      <c r="BC163" s="12">
        <f t="shared" si="105"/>
        <v>0</v>
      </c>
      <c r="BD163" s="12">
        <f t="shared" si="106"/>
        <v>0</v>
      </c>
      <c r="BE163" s="12">
        <v>0</v>
      </c>
      <c r="BF163" s="12">
        <f>163</f>
        <v>163</v>
      </c>
      <c r="BH163" s="61">
        <f t="shared" si="107"/>
        <v>0</v>
      </c>
      <c r="BI163" s="61">
        <f t="shared" si="108"/>
        <v>0</v>
      </c>
      <c r="BJ163" s="61">
        <f t="shared" si="109"/>
        <v>0</v>
      </c>
      <c r="BK163" s="61" t="s">
        <v>414</v>
      </c>
      <c r="BL163" s="12">
        <v>96</v>
      </c>
    </row>
    <row r="164" spans="1:64" ht="12.75">
      <c r="A164" s="46" t="s">
        <v>210</v>
      </c>
      <c r="B164" s="53" t="s">
        <v>263</v>
      </c>
      <c r="C164" s="162" t="s">
        <v>330</v>
      </c>
      <c r="D164" s="163"/>
      <c r="E164" s="163"/>
      <c r="F164" s="163"/>
      <c r="G164" s="53" t="s">
        <v>349</v>
      </c>
      <c r="H164" s="61">
        <v>0.9</v>
      </c>
      <c r="I164" s="61">
        <v>0</v>
      </c>
      <c r="J164" s="61">
        <f t="shared" si="88"/>
        <v>0</v>
      </c>
      <c r="K164" s="61">
        <f t="shared" si="89"/>
        <v>0</v>
      </c>
      <c r="L164" s="61">
        <f t="shared" si="90"/>
        <v>0</v>
      </c>
      <c r="M164" s="71" t="s">
        <v>367</v>
      </c>
      <c r="N164" s="11"/>
      <c r="Z164" s="12">
        <f t="shared" si="91"/>
        <v>0</v>
      </c>
      <c r="AB164" s="12">
        <f t="shared" si="92"/>
        <v>0</v>
      </c>
      <c r="AC164" s="12">
        <f t="shared" si="93"/>
        <v>0</v>
      </c>
      <c r="AD164" s="12">
        <f t="shared" si="94"/>
        <v>0</v>
      </c>
      <c r="AE164" s="12">
        <f t="shared" si="95"/>
        <v>0</v>
      </c>
      <c r="AF164" s="12">
        <f t="shared" si="96"/>
        <v>0</v>
      </c>
      <c r="AG164" s="12">
        <f t="shared" si="97"/>
        <v>0</v>
      </c>
      <c r="AH164" s="12">
        <f t="shared" si="98"/>
        <v>0</v>
      </c>
      <c r="AI164" s="73" t="s">
        <v>7</v>
      </c>
      <c r="AJ164" s="61">
        <f t="shared" si="99"/>
        <v>0</v>
      </c>
      <c r="AK164" s="61">
        <f t="shared" si="100"/>
        <v>0</v>
      </c>
      <c r="AL164" s="61">
        <f t="shared" si="101"/>
        <v>0</v>
      </c>
      <c r="AN164" s="12">
        <v>21</v>
      </c>
      <c r="AO164" s="12">
        <f>I164*0.0398740818467996</f>
        <v>0</v>
      </c>
      <c r="AP164" s="12">
        <f>I164*(1-0.0398740818467996)</f>
        <v>0</v>
      </c>
      <c r="AQ164" s="74" t="s">
        <v>119</v>
      </c>
      <c r="AV164" s="12">
        <f t="shared" si="102"/>
        <v>0</v>
      </c>
      <c r="AW164" s="12">
        <f t="shared" si="103"/>
        <v>0</v>
      </c>
      <c r="AX164" s="12">
        <f t="shared" si="104"/>
        <v>0</v>
      </c>
      <c r="AY164" s="75" t="s">
        <v>388</v>
      </c>
      <c r="AZ164" s="75" t="s">
        <v>407</v>
      </c>
      <c r="BA164" s="73" t="s">
        <v>409</v>
      </c>
      <c r="BC164" s="12">
        <f t="shared" si="105"/>
        <v>0</v>
      </c>
      <c r="BD164" s="12">
        <f t="shared" si="106"/>
        <v>0</v>
      </c>
      <c r="BE164" s="12">
        <v>0</v>
      </c>
      <c r="BF164" s="12">
        <f>164</f>
        <v>164</v>
      </c>
      <c r="BH164" s="61">
        <f t="shared" si="107"/>
        <v>0</v>
      </c>
      <c r="BI164" s="61">
        <f t="shared" si="108"/>
        <v>0</v>
      </c>
      <c r="BJ164" s="61">
        <f t="shared" si="109"/>
        <v>0</v>
      </c>
      <c r="BK164" s="61" t="s">
        <v>414</v>
      </c>
      <c r="BL164" s="12">
        <v>96</v>
      </c>
    </row>
    <row r="165" spans="1:64" ht="12.75">
      <c r="A165" s="46" t="s">
        <v>211</v>
      </c>
      <c r="B165" s="53" t="s">
        <v>264</v>
      </c>
      <c r="C165" s="162" t="s">
        <v>331</v>
      </c>
      <c r="D165" s="163"/>
      <c r="E165" s="163"/>
      <c r="F165" s="163"/>
      <c r="G165" s="53" t="s">
        <v>349</v>
      </c>
      <c r="H165" s="61">
        <v>9.74</v>
      </c>
      <c r="I165" s="61">
        <v>0</v>
      </c>
      <c r="J165" s="61">
        <f t="shared" si="88"/>
        <v>0</v>
      </c>
      <c r="K165" s="61">
        <f t="shared" si="89"/>
        <v>0</v>
      </c>
      <c r="L165" s="61">
        <f t="shared" si="90"/>
        <v>0</v>
      </c>
      <c r="M165" s="71" t="s">
        <v>367</v>
      </c>
      <c r="N165" s="11"/>
      <c r="Z165" s="12">
        <f t="shared" si="91"/>
        <v>0</v>
      </c>
      <c r="AB165" s="12">
        <f t="shared" si="92"/>
        <v>0</v>
      </c>
      <c r="AC165" s="12">
        <f t="shared" si="93"/>
        <v>0</v>
      </c>
      <c r="AD165" s="12">
        <f t="shared" si="94"/>
        <v>0</v>
      </c>
      <c r="AE165" s="12">
        <f t="shared" si="95"/>
        <v>0</v>
      </c>
      <c r="AF165" s="12">
        <f t="shared" si="96"/>
        <v>0</v>
      </c>
      <c r="AG165" s="12">
        <f t="shared" si="97"/>
        <v>0</v>
      </c>
      <c r="AH165" s="12">
        <f t="shared" si="98"/>
        <v>0</v>
      </c>
      <c r="AI165" s="73" t="s">
        <v>7</v>
      </c>
      <c r="AJ165" s="61">
        <f t="shared" si="99"/>
        <v>0</v>
      </c>
      <c r="AK165" s="61">
        <f t="shared" si="100"/>
        <v>0</v>
      </c>
      <c r="AL165" s="61">
        <f t="shared" si="101"/>
        <v>0</v>
      </c>
      <c r="AN165" s="12">
        <v>21</v>
      </c>
      <c r="AO165" s="12">
        <f>I165*0.0625697638259219</f>
        <v>0</v>
      </c>
      <c r="AP165" s="12">
        <f>I165*(1-0.0625697638259219)</f>
        <v>0</v>
      </c>
      <c r="AQ165" s="74" t="s">
        <v>119</v>
      </c>
      <c r="AV165" s="12">
        <f t="shared" si="102"/>
        <v>0</v>
      </c>
      <c r="AW165" s="12">
        <f t="shared" si="103"/>
        <v>0</v>
      </c>
      <c r="AX165" s="12">
        <f t="shared" si="104"/>
        <v>0</v>
      </c>
      <c r="AY165" s="75" t="s">
        <v>388</v>
      </c>
      <c r="AZ165" s="75" t="s">
        <v>407</v>
      </c>
      <c r="BA165" s="73" t="s">
        <v>409</v>
      </c>
      <c r="BC165" s="12">
        <f t="shared" si="105"/>
        <v>0</v>
      </c>
      <c r="BD165" s="12">
        <f t="shared" si="106"/>
        <v>0</v>
      </c>
      <c r="BE165" s="12">
        <v>0</v>
      </c>
      <c r="BF165" s="12">
        <f>165</f>
        <v>165</v>
      </c>
      <c r="BH165" s="61">
        <f t="shared" si="107"/>
        <v>0</v>
      </c>
      <c r="BI165" s="61">
        <f t="shared" si="108"/>
        <v>0</v>
      </c>
      <c r="BJ165" s="61">
        <f t="shared" si="109"/>
        <v>0</v>
      </c>
      <c r="BK165" s="61" t="s">
        <v>414</v>
      </c>
      <c r="BL165" s="12">
        <v>96</v>
      </c>
    </row>
    <row r="166" spans="1:14" ht="12.75">
      <c r="A166" s="11"/>
      <c r="B166" s="54" t="s">
        <v>227</v>
      </c>
      <c r="C166" s="164" t="s">
        <v>332</v>
      </c>
      <c r="D166" s="165"/>
      <c r="E166" s="165"/>
      <c r="F166" s="165"/>
      <c r="G166" s="165"/>
      <c r="H166" s="165"/>
      <c r="I166" s="165"/>
      <c r="J166" s="165"/>
      <c r="K166" s="165"/>
      <c r="L166" s="165"/>
      <c r="M166" s="166"/>
      <c r="N166" s="11"/>
    </row>
    <row r="167" spans="1:64" ht="12.75">
      <c r="A167" s="46" t="s">
        <v>212</v>
      </c>
      <c r="B167" s="53" t="s">
        <v>265</v>
      </c>
      <c r="C167" s="162" t="s">
        <v>333</v>
      </c>
      <c r="D167" s="163"/>
      <c r="E167" s="163"/>
      <c r="F167" s="163"/>
      <c r="G167" s="53" t="s">
        <v>350</v>
      </c>
      <c r="H167" s="61">
        <v>3</v>
      </c>
      <c r="I167" s="61">
        <v>0</v>
      </c>
      <c r="J167" s="61">
        <f aca="true" t="shared" si="110" ref="J167:J172">H167*AO167</f>
        <v>0</v>
      </c>
      <c r="K167" s="61">
        <f aca="true" t="shared" si="111" ref="K167:K172">H167*AP167</f>
        <v>0</v>
      </c>
      <c r="L167" s="61">
        <f aca="true" t="shared" si="112" ref="L167:L172">H167*I167</f>
        <v>0</v>
      </c>
      <c r="M167" s="71" t="s">
        <v>367</v>
      </c>
      <c r="N167" s="11"/>
      <c r="Z167" s="12">
        <f aca="true" t="shared" si="113" ref="Z167:Z172">IF(AQ167="5",BJ167,0)</f>
        <v>0</v>
      </c>
      <c r="AB167" s="12">
        <f aca="true" t="shared" si="114" ref="AB167:AB172">IF(AQ167="1",BH167,0)</f>
        <v>0</v>
      </c>
      <c r="AC167" s="12">
        <f aca="true" t="shared" si="115" ref="AC167:AC172">IF(AQ167="1",BI167,0)</f>
        <v>0</v>
      </c>
      <c r="AD167" s="12">
        <f aca="true" t="shared" si="116" ref="AD167:AD172">IF(AQ167="7",BH167,0)</f>
        <v>0</v>
      </c>
      <c r="AE167" s="12">
        <f aca="true" t="shared" si="117" ref="AE167:AE172">IF(AQ167="7",BI167,0)</f>
        <v>0</v>
      </c>
      <c r="AF167" s="12">
        <f aca="true" t="shared" si="118" ref="AF167:AF172">IF(AQ167="2",BH167,0)</f>
        <v>0</v>
      </c>
      <c r="AG167" s="12">
        <f aca="true" t="shared" si="119" ref="AG167:AG172">IF(AQ167="2",BI167,0)</f>
        <v>0</v>
      </c>
      <c r="AH167" s="12">
        <f aca="true" t="shared" si="120" ref="AH167:AH172">IF(AQ167="0",BJ167,0)</f>
        <v>0</v>
      </c>
      <c r="AI167" s="73" t="s">
        <v>7</v>
      </c>
      <c r="AJ167" s="61">
        <f aca="true" t="shared" si="121" ref="AJ167:AJ172">IF(AN167=0,L167,0)</f>
        <v>0</v>
      </c>
      <c r="AK167" s="61">
        <f aca="true" t="shared" si="122" ref="AK167:AK172">IF(AN167=15,L167,0)</f>
        <v>0</v>
      </c>
      <c r="AL167" s="61">
        <f aca="true" t="shared" si="123" ref="AL167:AL172">IF(AN167=21,L167,0)</f>
        <v>0</v>
      </c>
      <c r="AN167" s="12">
        <v>21</v>
      </c>
      <c r="AO167" s="12">
        <f>I167*0</f>
        <v>0</v>
      </c>
      <c r="AP167" s="12">
        <f>I167*(1-0)</f>
        <v>0</v>
      </c>
      <c r="AQ167" s="74" t="s">
        <v>119</v>
      </c>
      <c r="AV167" s="12">
        <f aca="true" t="shared" si="124" ref="AV167:AV172">AW167+AX167</f>
        <v>0</v>
      </c>
      <c r="AW167" s="12">
        <f aca="true" t="shared" si="125" ref="AW167:AW172">H167*AO167</f>
        <v>0</v>
      </c>
      <c r="AX167" s="12">
        <f aca="true" t="shared" si="126" ref="AX167:AX172">H167*AP167</f>
        <v>0</v>
      </c>
      <c r="AY167" s="75" t="s">
        <v>388</v>
      </c>
      <c r="AZ167" s="75" t="s">
        <v>407</v>
      </c>
      <c r="BA167" s="73" t="s">
        <v>409</v>
      </c>
      <c r="BC167" s="12">
        <f aca="true" t="shared" si="127" ref="BC167:BC172">AW167+AX167</f>
        <v>0</v>
      </c>
      <c r="BD167" s="12">
        <f aca="true" t="shared" si="128" ref="BD167:BD172">I167/(100-BE167)*100</f>
        <v>0</v>
      </c>
      <c r="BE167" s="12">
        <v>0</v>
      </c>
      <c r="BF167" s="12">
        <f>167</f>
        <v>167</v>
      </c>
      <c r="BH167" s="61">
        <f aca="true" t="shared" si="129" ref="BH167:BH172">H167*AO167</f>
        <v>0</v>
      </c>
      <c r="BI167" s="61">
        <f aca="true" t="shared" si="130" ref="BI167:BI172">H167*AP167</f>
        <v>0</v>
      </c>
      <c r="BJ167" s="61">
        <f aca="true" t="shared" si="131" ref="BJ167:BJ172">H167*I167</f>
        <v>0</v>
      </c>
      <c r="BK167" s="61" t="s">
        <v>414</v>
      </c>
      <c r="BL167" s="12">
        <v>96</v>
      </c>
    </row>
    <row r="168" spans="1:64" ht="12.75">
      <c r="A168" s="46" t="s">
        <v>213</v>
      </c>
      <c r="B168" s="53" t="s">
        <v>266</v>
      </c>
      <c r="C168" s="162" t="s">
        <v>334</v>
      </c>
      <c r="D168" s="163"/>
      <c r="E168" s="163"/>
      <c r="F168" s="163"/>
      <c r="G168" s="53" t="s">
        <v>350</v>
      </c>
      <c r="H168" s="61">
        <v>6</v>
      </c>
      <c r="I168" s="61">
        <v>0</v>
      </c>
      <c r="J168" s="61">
        <f t="shared" si="110"/>
        <v>0</v>
      </c>
      <c r="K168" s="61">
        <f t="shared" si="111"/>
        <v>0</v>
      </c>
      <c r="L168" s="61">
        <f t="shared" si="112"/>
        <v>0</v>
      </c>
      <c r="M168" s="71" t="s">
        <v>367</v>
      </c>
      <c r="N168" s="11"/>
      <c r="Z168" s="12">
        <f t="shared" si="113"/>
        <v>0</v>
      </c>
      <c r="AB168" s="12">
        <f t="shared" si="114"/>
        <v>0</v>
      </c>
      <c r="AC168" s="12">
        <f t="shared" si="115"/>
        <v>0</v>
      </c>
      <c r="AD168" s="12">
        <f t="shared" si="116"/>
        <v>0</v>
      </c>
      <c r="AE168" s="12">
        <f t="shared" si="117"/>
        <v>0</v>
      </c>
      <c r="AF168" s="12">
        <f t="shared" si="118"/>
        <v>0</v>
      </c>
      <c r="AG168" s="12">
        <f t="shared" si="119"/>
        <v>0</v>
      </c>
      <c r="AH168" s="12">
        <f t="shared" si="120"/>
        <v>0</v>
      </c>
      <c r="AI168" s="73" t="s">
        <v>7</v>
      </c>
      <c r="AJ168" s="61">
        <f t="shared" si="121"/>
        <v>0</v>
      </c>
      <c r="AK168" s="61">
        <f t="shared" si="122"/>
        <v>0</v>
      </c>
      <c r="AL168" s="61">
        <f t="shared" si="123"/>
        <v>0</v>
      </c>
      <c r="AN168" s="12">
        <v>21</v>
      </c>
      <c r="AO168" s="12">
        <f>I168*0</f>
        <v>0</v>
      </c>
      <c r="AP168" s="12">
        <f>I168*(1-0)</f>
        <v>0</v>
      </c>
      <c r="AQ168" s="74" t="s">
        <v>119</v>
      </c>
      <c r="AV168" s="12">
        <f t="shared" si="124"/>
        <v>0</v>
      </c>
      <c r="AW168" s="12">
        <f t="shared" si="125"/>
        <v>0</v>
      </c>
      <c r="AX168" s="12">
        <f t="shared" si="126"/>
        <v>0</v>
      </c>
      <c r="AY168" s="75" t="s">
        <v>388</v>
      </c>
      <c r="AZ168" s="75" t="s">
        <v>407</v>
      </c>
      <c r="BA168" s="73" t="s">
        <v>409</v>
      </c>
      <c r="BC168" s="12">
        <f t="shared" si="127"/>
        <v>0</v>
      </c>
      <c r="BD168" s="12">
        <f t="shared" si="128"/>
        <v>0</v>
      </c>
      <c r="BE168" s="12">
        <v>0</v>
      </c>
      <c r="BF168" s="12">
        <f>168</f>
        <v>168</v>
      </c>
      <c r="BH168" s="61">
        <f t="shared" si="129"/>
        <v>0</v>
      </c>
      <c r="BI168" s="61">
        <f t="shared" si="130"/>
        <v>0</v>
      </c>
      <c r="BJ168" s="61">
        <f t="shared" si="131"/>
        <v>0</v>
      </c>
      <c r="BK168" s="61" t="s">
        <v>414</v>
      </c>
      <c r="BL168" s="12">
        <v>96</v>
      </c>
    </row>
    <row r="169" spans="1:64" ht="12.75">
      <c r="A169" s="46" t="s">
        <v>214</v>
      </c>
      <c r="B169" s="53" t="s">
        <v>267</v>
      </c>
      <c r="C169" s="162" t="s">
        <v>335</v>
      </c>
      <c r="D169" s="163"/>
      <c r="E169" s="163"/>
      <c r="F169" s="163"/>
      <c r="G169" s="53" t="s">
        <v>352</v>
      </c>
      <c r="H169" s="61">
        <v>1</v>
      </c>
      <c r="I169" s="61">
        <v>0</v>
      </c>
      <c r="J169" s="61">
        <f t="shared" si="110"/>
        <v>0</v>
      </c>
      <c r="K169" s="61">
        <f t="shared" si="111"/>
        <v>0</v>
      </c>
      <c r="L169" s="61">
        <f t="shared" si="112"/>
        <v>0</v>
      </c>
      <c r="M169" s="71" t="s">
        <v>367</v>
      </c>
      <c r="N169" s="11"/>
      <c r="Z169" s="12">
        <f t="shared" si="113"/>
        <v>0</v>
      </c>
      <c r="AB169" s="12">
        <f t="shared" si="114"/>
        <v>0</v>
      </c>
      <c r="AC169" s="12">
        <f t="shared" si="115"/>
        <v>0</v>
      </c>
      <c r="AD169" s="12">
        <f t="shared" si="116"/>
        <v>0</v>
      </c>
      <c r="AE169" s="12">
        <f t="shared" si="117"/>
        <v>0</v>
      </c>
      <c r="AF169" s="12">
        <f t="shared" si="118"/>
        <v>0</v>
      </c>
      <c r="AG169" s="12">
        <f t="shared" si="119"/>
        <v>0</v>
      </c>
      <c r="AH169" s="12">
        <f t="shared" si="120"/>
        <v>0</v>
      </c>
      <c r="AI169" s="73" t="s">
        <v>7</v>
      </c>
      <c r="AJ169" s="61">
        <f t="shared" si="121"/>
        <v>0</v>
      </c>
      <c r="AK169" s="61">
        <f t="shared" si="122"/>
        <v>0</v>
      </c>
      <c r="AL169" s="61">
        <f t="shared" si="123"/>
        <v>0</v>
      </c>
      <c r="AN169" s="12">
        <v>21</v>
      </c>
      <c r="AO169" s="12">
        <f>I169*0</f>
        <v>0</v>
      </c>
      <c r="AP169" s="12">
        <f>I169*(1-0)</f>
        <v>0</v>
      </c>
      <c r="AQ169" s="74" t="s">
        <v>119</v>
      </c>
      <c r="AV169" s="12">
        <f t="shared" si="124"/>
        <v>0</v>
      </c>
      <c r="AW169" s="12">
        <f t="shared" si="125"/>
        <v>0</v>
      </c>
      <c r="AX169" s="12">
        <f t="shared" si="126"/>
        <v>0</v>
      </c>
      <c r="AY169" s="75" t="s">
        <v>388</v>
      </c>
      <c r="AZ169" s="75" t="s">
        <v>407</v>
      </c>
      <c r="BA169" s="73" t="s">
        <v>409</v>
      </c>
      <c r="BC169" s="12">
        <f t="shared" si="127"/>
        <v>0</v>
      </c>
      <c r="BD169" s="12">
        <f t="shared" si="128"/>
        <v>0</v>
      </c>
      <c r="BE169" s="12">
        <v>0</v>
      </c>
      <c r="BF169" s="12">
        <f>169</f>
        <v>169</v>
      </c>
      <c r="BH169" s="61">
        <f t="shared" si="129"/>
        <v>0</v>
      </c>
      <c r="BI169" s="61">
        <f t="shared" si="130"/>
        <v>0</v>
      </c>
      <c r="BJ169" s="61">
        <f t="shared" si="131"/>
        <v>0</v>
      </c>
      <c r="BK169" s="61" t="s">
        <v>414</v>
      </c>
      <c r="BL169" s="12">
        <v>96</v>
      </c>
    </row>
    <row r="170" spans="1:64" ht="12.75">
      <c r="A170" s="46" t="s">
        <v>215</v>
      </c>
      <c r="B170" s="53" t="s">
        <v>268</v>
      </c>
      <c r="C170" s="162" t="s">
        <v>336</v>
      </c>
      <c r="D170" s="163"/>
      <c r="E170" s="163"/>
      <c r="F170" s="163"/>
      <c r="G170" s="53" t="s">
        <v>350</v>
      </c>
      <c r="H170" s="61">
        <v>1</v>
      </c>
      <c r="I170" s="61">
        <v>0</v>
      </c>
      <c r="J170" s="61">
        <f t="shared" si="110"/>
        <v>0</v>
      </c>
      <c r="K170" s="61">
        <f t="shared" si="111"/>
        <v>0</v>
      </c>
      <c r="L170" s="61">
        <f t="shared" si="112"/>
        <v>0</v>
      </c>
      <c r="M170" s="71" t="s">
        <v>367</v>
      </c>
      <c r="N170" s="11"/>
      <c r="Z170" s="12">
        <f t="shared" si="113"/>
        <v>0</v>
      </c>
      <c r="AB170" s="12">
        <f t="shared" si="114"/>
        <v>0</v>
      </c>
      <c r="AC170" s="12">
        <f t="shared" si="115"/>
        <v>0</v>
      </c>
      <c r="AD170" s="12">
        <f t="shared" si="116"/>
        <v>0</v>
      </c>
      <c r="AE170" s="12">
        <f t="shared" si="117"/>
        <v>0</v>
      </c>
      <c r="AF170" s="12">
        <f t="shared" si="118"/>
        <v>0</v>
      </c>
      <c r="AG170" s="12">
        <f t="shared" si="119"/>
        <v>0</v>
      </c>
      <c r="AH170" s="12">
        <f t="shared" si="120"/>
        <v>0</v>
      </c>
      <c r="AI170" s="73" t="s">
        <v>7</v>
      </c>
      <c r="AJ170" s="61">
        <f t="shared" si="121"/>
        <v>0</v>
      </c>
      <c r="AK170" s="61">
        <f t="shared" si="122"/>
        <v>0</v>
      </c>
      <c r="AL170" s="61">
        <f t="shared" si="123"/>
        <v>0</v>
      </c>
      <c r="AN170" s="12">
        <v>21</v>
      </c>
      <c r="AO170" s="12">
        <f>I170*0.255943788994</f>
        <v>0</v>
      </c>
      <c r="AP170" s="12">
        <f>I170*(1-0.255943788994)</f>
        <v>0</v>
      </c>
      <c r="AQ170" s="74" t="s">
        <v>119</v>
      </c>
      <c r="AV170" s="12">
        <f t="shared" si="124"/>
        <v>0</v>
      </c>
      <c r="AW170" s="12">
        <f t="shared" si="125"/>
        <v>0</v>
      </c>
      <c r="AX170" s="12">
        <f t="shared" si="126"/>
        <v>0</v>
      </c>
      <c r="AY170" s="75" t="s">
        <v>388</v>
      </c>
      <c r="AZ170" s="75" t="s">
        <v>407</v>
      </c>
      <c r="BA170" s="73" t="s">
        <v>409</v>
      </c>
      <c r="BC170" s="12">
        <f t="shared" si="127"/>
        <v>0</v>
      </c>
      <c r="BD170" s="12">
        <f t="shared" si="128"/>
        <v>0</v>
      </c>
      <c r="BE170" s="12">
        <v>0</v>
      </c>
      <c r="BF170" s="12">
        <f>170</f>
        <v>170</v>
      </c>
      <c r="BH170" s="61">
        <f t="shared" si="129"/>
        <v>0</v>
      </c>
      <c r="BI170" s="61">
        <f t="shared" si="130"/>
        <v>0</v>
      </c>
      <c r="BJ170" s="61">
        <f t="shared" si="131"/>
        <v>0</v>
      </c>
      <c r="BK170" s="61" t="s">
        <v>414</v>
      </c>
      <c r="BL170" s="12">
        <v>96</v>
      </c>
    </row>
    <row r="171" spans="1:64" ht="12.75">
      <c r="A171" s="46" t="s">
        <v>216</v>
      </c>
      <c r="B171" s="53" t="s">
        <v>267</v>
      </c>
      <c r="C171" s="162" t="s">
        <v>337</v>
      </c>
      <c r="D171" s="163"/>
      <c r="E171" s="163"/>
      <c r="F171" s="163"/>
      <c r="G171" s="53" t="s">
        <v>352</v>
      </c>
      <c r="H171" s="61">
        <v>1</v>
      </c>
      <c r="I171" s="61">
        <v>0</v>
      </c>
      <c r="J171" s="61">
        <f t="shared" si="110"/>
        <v>0</v>
      </c>
      <c r="K171" s="61">
        <f t="shared" si="111"/>
        <v>0</v>
      </c>
      <c r="L171" s="61">
        <f t="shared" si="112"/>
        <v>0</v>
      </c>
      <c r="M171" s="71" t="s">
        <v>367</v>
      </c>
      <c r="N171" s="11"/>
      <c r="Z171" s="12">
        <f t="shared" si="113"/>
        <v>0</v>
      </c>
      <c r="AB171" s="12">
        <f t="shared" si="114"/>
        <v>0</v>
      </c>
      <c r="AC171" s="12">
        <f t="shared" si="115"/>
        <v>0</v>
      </c>
      <c r="AD171" s="12">
        <f t="shared" si="116"/>
        <v>0</v>
      </c>
      <c r="AE171" s="12">
        <f t="shared" si="117"/>
        <v>0</v>
      </c>
      <c r="AF171" s="12">
        <f t="shared" si="118"/>
        <v>0</v>
      </c>
      <c r="AG171" s="12">
        <f t="shared" si="119"/>
        <v>0</v>
      </c>
      <c r="AH171" s="12">
        <f t="shared" si="120"/>
        <v>0</v>
      </c>
      <c r="AI171" s="73" t="s">
        <v>7</v>
      </c>
      <c r="AJ171" s="61">
        <f t="shared" si="121"/>
        <v>0</v>
      </c>
      <c r="AK171" s="61">
        <f t="shared" si="122"/>
        <v>0</v>
      </c>
      <c r="AL171" s="61">
        <f t="shared" si="123"/>
        <v>0</v>
      </c>
      <c r="AN171" s="12">
        <v>21</v>
      </c>
      <c r="AO171" s="12">
        <f>I171*0</f>
        <v>0</v>
      </c>
      <c r="AP171" s="12">
        <f>I171*(1-0)</f>
        <v>0</v>
      </c>
      <c r="AQ171" s="74" t="s">
        <v>119</v>
      </c>
      <c r="AV171" s="12">
        <f t="shared" si="124"/>
        <v>0</v>
      </c>
      <c r="AW171" s="12">
        <f t="shared" si="125"/>
        <v>0</v>
      </c>
      <c r="AX171" s="12">
        <f t="shared" si="126"/>
        <v>0</v>
      </c>
      <c r="AY171" s="75" t="s">
        <v>388</v>
      </c>
      <c r="AZ171" s="75" t="s">
        <v>407</v>
      </c>
      <c r="BA171" s="73" t="s">
        <v>409</v>
      </c>
      <c r="BC171" s="12">
        <f t="shared" si="127"/>
        <v>0</v>
      </c>
      <c r="BD171" s="12">
        <f t="shared" si="128"/>
        <v>0</v>
      </c>
      <c r="BE171" s="12">
        <v>0</v>
      </c>
      <c r="BF171" s="12">
        <f>171</f>
        <v>171</v>
      </c>
      <c r="BH171" s="61">
        <f t="shared" si="129"/>
        <v>0</v>
      </c>
      <c r="BI171" s="61">
        <f t="shared" si="130"/>
        <v>0</v>
      </c>
      <c r="BJ171" s="61">
        <f t="shared" si="131"/>
        <v>0</v>
      </c>
      <c r="BK171" s="61" t="s">
        <v>414</v>
      </c>
      <c r="BL171" s="12">
        <v>96</v>
      </c>
    </row>
    <row r="172" spans="1:64" ht="12.75">
      <c r="A172" s="46" t="s">
        <v>217</v>
      </c>
      <c r="B172" s="53" t="s">
        <v>267</v>
      </c>
      <c r="C172" s="162" t="s">
        <v>339</v>
      </c>
      <c r="D172" s="163"/>
      <c r="E172" s="163"/>
      <c r="F172" s="163"/>
      <c r="G172" s="53" t="s">
        <v>352</v>
      </c>
      <c r="H172" s="61">
        <v>1</v>
      </c>
      <c r="I172" s="61">
        <v>0</v>
      </c>
      <c r="J172" s="61">
        <f t="shared" si="110"/>
        <v>0</v>
      </c>
      <c r="K172" s="61">
        <f t="shared" si="111"/>
        <v>0</v>
      </c>
      <c r="L172" s="61">
        <f t="shared" si="112"/>
        <v>0</v>
      </c>
      <c r="M172" s="71" t="s">
        <v>367</v>
      </c>
      <c r="N172" s="11"/>
      <c r="Z172" s="12">
        <f t="shared" si="113"/>
        <v>0</v>
      </c>
      <c r="AB172" s="12">
        <f t="shared" si="114"/>
        <v>0</v>
      </c>
      <c r="AC172" s="12">
        <f t="shared" si="115"/>
        <v>0</v>
      </c>
      <c r="AD172" s="12">
        <f t="shared" si="116"/>
        <v>0</v>
      </c>
      <c r="AE172" s="12">
        <f t="shared" si="117"/>
        <v>0</v>
      </c>
      <c r="AF172" s="12">
        <f t="shared" si="118"/>
        <v>0</v>
      </c>
      <c r="AG172" s="12">
        <f t="shared" si="119"/>
        <v>0</v>
      </c>
      <c r="AH172" s="12">
        <f t="shared" si="120"/>
        <v>0</v>
      </c>
      <c r="AI172" s="73" t="s">
        <v>7</v>
      </c>
      <c r="AJ172" s="61">
        <f t="shared" si="121"/>
        <v>0</v>
      </c>
      <c r="AK172" s="61">
        <f t="shared" si="122"/>
        <v>0</v>
      </c>
      <c r="AL172" s="61">
        <f t="shared" si="123"/>
        <v>0</v>
      </c>
      <c r="AN172" s="12">
        <v>21</v>
      </c>
      <c r="AO172" s="12">
        <f>I172*0</f>
        <v>0</v>
      </c>
      <c r="AP172" s="12">
        <f>I172*(1-0)</f>
        <v>0</v>
      </c>
      <c r="AQ172" s="74" t="s">
        <v>119</v>
      </c>
      <c r="AV172" s="12">
        <f t="shared" si="124"/>
        <v>0</v>
      </c>
      <c r="AW172" s="12">
        <f t="shared" si="125"/>
        <v>0</v>
      </c>
      <c r="AX172" s="12">
        <f t="shared" si="126"/>
        <v>0</v>
      </c>
      <c r="AY172" s="75" t="s">
        <v>388</v>
      </c>
      <c r="AZ172" s="75" t="s">
        <v>407</v>
      </c>
      <c r="BA172" s="73" t="s">
        <v>409</v>
      </c>
      <c r="BC172" s="12">
        <f t="shared" si="127"/>
        <v>0</v>
      </c>
      <c r="BD172" s="12">
        <f t="shared" si="128"/>
        <v>0</v>
      </c>
      <c r="BE172" s="12">
        <v>0</v>
      </c>
      <c r="BF172" s="12">
        <f>172</f>
        <v>172</v>
      </c>
      <c r="BH172" s="61">
        <f t="shared" si="129"/>
        <v>0</v>
      </c>
      <c r="BI172" s="61">
        <f t="shared" si="130"/>
        <v>0</v>
      </c>
      <c r="BJ172" s="61">
        <f t="shared" si="131"/>
        <v>0</v>
      </c>
      <c r="BK172" s="61" t="s">
        <v>414</v>
      </c>
      <c r="BL172" s="12">
        <v>96</v>
      </c>
    </row>
    <row r="173" spans="1:47" ht="12.75">
      <c r="A173" s="45"/>
      <c r="B173" s="52" t="s">
        <v>21</v>
      </c>
      <c r="C173" s="160" t="s">
        <v>37</v>
      </c>
      <c r="D173" s="161"/>
      <c r="E173" s="161"/>
      <c r="F173" s="161"/>
      <c r="G173" s="58" t="s">
        <v>44</v>
      </c>
      <c r="H173" s="58" t="s">
        <v>44</v>
      </c>
      <c r="I173" s="58" t="s">
        <v>44</v>
      </c>
      <c r="J173" s="78">
        <f>SUM(J174:J176)</f>
        <v>0</v>
      </c>
      <c r="K173" s="78">
        <f>SUM(K174:K176)</f>
        <v>0</v>
      </c>
      <c r="L173" s="78">
        <f>SUM(L174:L176)</f>
        <v>0</v>
      </c>
      <c r="M173" s="70"/>
      <c r="N173" s="11"/>
      <c r="AI173" s="73" t="s">
        <v>7</v>
      </c>
      <c r="AS173" s="78">
        <f>SUM(AJ174:AJ176)</f>
        <v>0</v>
      </c>
      <c r="AT173" s="78">
        <f>SUM(AK174:AK176)</f>
        <v>0</v>
      </c>
      <c r="AU173" s="78">
        <f>SUM(AL174:AL176)</f>
        <v>0</v>
      </c>
    </row>
    <row r="174" spans="1:64" ht="12.75">
      <c r="A174" s="46" t="s">
        <v>218</v>
      </c>
      <c r="B174" s="53" t="s">
        <v>270</v>
      </c>
      <c r="C174" s="162" t="s">
        <v>340</v>
      </c>
      <c r="D174" s="163"/>
      <c r="E174" s="163"/>
      <c r="F174" s="163"/>
      <c r="G174" s="53" t="s">
        <v>354</v>
      </c>
      <c r="H174" s="61">
        <v>3</v>
      </c>
      <c r="I174" s="61">
        <v>0</v>
      </c>
      <c r="J174" s="61">
        <f>H174*AO174</f>
        <v>0</v>
      </c>
      <c r="K174" s="61">
        <f>H174*AP174</f>
        <v>0</v>
      </c>
      <c r="L174" s="61">
        <f>H174*I174</f>
        <v>0</v>
      </c>
      <c r="M174" s="71" t="s">
        <v>367</v>
      </c>
      <c r="N174" s="11"/>
      <c r="Z174" s="12">
        <f>IF(AQ174="5",BJ174,0)</f>
        <v>0</v>
      </c>
      <c r="AB174" s="12">
        <f>IF(AQ174="1",BH174,0)</f>
        <v>0</v>
      </c>
      <c r="AC174" s="12">
        <f>IF(AQ174="1",BI174,0)</f>
        <v>0</v>
      </c>
      <c r="AD174" s="12">
        <f>IF(AQ174="7",BH174,0)</f>
        <v>0</v>
      </c>
      <c r="AE174" s="12">
        <f>IF(AQ174="7",BI174,0)</f>
        <v>0</v>
      </c>
      <c r="AF174" s="12">
        <f>IF(AQ174="2",BH174,0)</f>
        <v>0</v>
      </c>
      <c r="AG174" s="12">
        <f>IF(AQ174="2",BI174,0)</f>
        <v>0</v>
      </c>
      <c r="AH174" s="12">
        <f>IF(AQ174="0",BJ174,0)</f>
        <v>0</v>
      </c>
      <c r="AI174" s="73" t="s">
        <v>7</v>
      </c>
      <c r="AJ174" s="61">
        <f>IF(AN174=0,L174,0)</f>
        <v>0</v>
      </c>
      <c r="AK174" s="61">
        <f>IF(AN174=15,L174,0)</f>
        <v>0</v>
      </c>
      <c r="AL174" s="61">
        <f>IF(AN174=21,L174,0)</f>
        <v>0</v>
      </c>
      <c r="AN174" s="12">
        <v>21</v>
      </c>
      <c r="AO174" s="12">
        <f>I174*0</f>
        <v>0</v>
      </c>
      <c r="AP174" s="12">
        <f>I174*(1-0)</f>
        <v>0</v>
      </c>
      <c r="AQ174" s="74" t="s">
        <v>119</v>
      </c>
      <c r="AV174" s="12">
        <f>AW174+AX174</f>
        <v>0</v>
      </c>
      <c r="AW174" s="12">
        <f>H174*AO174</f>
        <v>0</v>
      </c>
      <c r="AX174" s="12">
        <f>H174*AP174</f>
        <v>0</v>
      </c>
      <c r="AY174" s="75" t="s">
        <v>389</v>
      </c>
      <c r="AZ174" s="75" t="s">
        <v>407</v>
      </c>
      <c r="BA174" s="73" t="s">
        <v>409</v>
      </c>
      <c r="BC174" s="12">
        <f>AW174+AX174</f>
        <v>0</v>
      </c>
      <c r="BD174" s="12">
        <f>I174/(100-BE174)*100</f>
        <v>0</v>
      </c>
      <c r="BE174" s="12">
        <v>0</v>
      </c>
      <c r="BF174" s="12">
        <f>174</f>
        <v>174</v>
      </c>
      <c r="BH174" s="61">
        <f>H174*AO174</f>
        <v>0</v>
      </c>
      <c r="BI174" s="61">
        <f>H174*AP174</f>
        <v>0</v>
      </c>
      <c r="BJ174" s="61">
        <f>H174*I174</f>
        <v>0</v>
      </c>
      <c r="BK174" s="61" t="s">
        <v>414</v>
      </c>
      <c r="BL174" s="12">
        <v>97</v>
      </c>
    </row>
    <row r="175" spans="1:64" ht="12.75">
      <c r="A175" s="46" t="s">
        <v>219</v>
      </c>
      <c r="B175" s="53" t="s">
        <v>270</v>
      </c>
      <c r="C175" s="162" t="s">
        <v>341</v>
      </c>
      <c r="D175" s="163"/>
      <c r="E175" s="163"/>
      <c r="F175" s="163"/>
      <c r="G175" s="53" t="s">
        <v>354</v>
      </c>
      <c r="H175" s="61">
        <v>2</v>
      </c>
      <c r="I175" s="61">
        <v>0</v>
      </c>
      <c r="J175" s="61">
        <f>H175*AO175</f>
        <v>0</v>
      </c>
      <c r="K175" s="61">
        <f>H175*AP175</f>
        <v>0</v>
      </c>
      <c r="L175" s="61">
        <f>H175*I175</f>
        <v>0</v>
      </c>
      <c r="M175" s="71" t="s">
        <v>367</v>
      </c>
      <c r="N175" s="11"/>
      <c r="Z175" s="12">
        <f>IF(AQ175="5",BJ175,0)</f>
        <v>0</v>
      </c>
      <c r="AB175" s="12">
        <f>IF(AQ175="1",BH175,0)</f>
        <v>0</v>
      </c>
      <c r="AC175" s="12">
        <f>IF(AQ175="1",BI175,0)</f>
        <v>0</v>
      </c>
      <c r="AD175" s="12">
        <f>IF(AQ175="7",BH175,0)</f>
        <v>0</v>
      </c>
      <c r="AE175" s="12">
        <f>IF(AQ175="7",BI175,0)</f>
        <v>0</v>
      </c>
      <c r="AF175" s="12">
        <f>IF(AQ175="2",BH175,0)</f>
        <v>0</v>
      </c>
      <c r="AG175" s="12">
        <f>IF(AQ175="2",BI175,0)</f>
        <v>0</v>
      </c>
      <c r="AH175" s="12">
        <f>IF(AQ175="0",BJ175,0)</f>
        <v>0</v>
      </c>
      <c r="AI175" s="73" t="s">
        <v>7</v>
      </c>
      <c r="AJ175" s="61">
        <f>IF(AN175=0,L175,0)</f>
        <v>0</v>
      </c>
      <c r="AK175" s="61">
        <f>IF(AN175=15,L175,0)</f>
        <v>0</v>
      </c>
      <c r="AL175" s="61">
        <f>IF(AN175=21,L175,0)</f>
        <v>0</v>
      </c>
      <c r="AN175" s="12">
        <v>21</v>
      </c>
      <c r="AO175" s="12">
        <f>I175*0</f>
        <v>0</v>
      </c>
      <c r="AP175" s="12">
        <f>I175*(1-0)</f>
        <v>0</v>
      </c>
      <c r="AQ175" s="74" t="s">
        <v>119</v>
      </c>
      <c r="AV175" s="12">
        <f>AW175+AX175</f>
        <v>0</v>
      </c>
      <c r="AW175" s="12">
        <f>H175*AO175</f>
        <v>0</v>
      </c>
      <c r="AX175" s="12">
        <f>H175*AP175</f>
        <v>0</v>
      </c>
      <c r="AY175" s="75" t="s">
        <v>389</v>
      </c>
      <c r="AZ175" s="75" t="s">
        <v>407</v>
      </c>
      <c r="BA175" s="73" t="s">
        <v>409</v>
      </c>
      <c r="BC175" s="12">
        <f>AW175+AX175</f>
        <v>0</v>
      </c>
      <c r="BD175" s="12">
        <f>I175/(100-BE175)*100</f>
        <v>0</v>
      </c>
      <c r="BE175" s="12">
        <v>0</v>
      </c>
      <c r="BF175" s="12">
        <f>175</f>
        <v>175</v>
      </c>
      <c r="BH175" s="61">
        <f>H175*AO175</f>
        <v>0</v>
      </c>
      <c r="BI175" s="61">
        <f>H175*AP175</f>
        <v>0</v>
      </c>
      <c r="BJ175" s="61">
        <f>H175*I175</f>
        <v>0</v>
      </c>
      <c r="BK175" s="61" t="s">
        <v>414</v>
      </c>
      <c r="BL175" s="12">
        <v>97</v>
      </c>
    </row>
    <row r="176" spans="1:64" ht="12.75">
      <c r="A176" s="46" t="s">
        <v>220</v>
      </c>
      <c r="B176" s="53" t="s">
        <v>271</v>
      </c>
      <c r="C176" s="162" t="s">
        <v>342</v>
      </c>
      <c r="D176" s="163"/>
      <c r="E176" s="163"/>
      <c r="F176" s="163"/>
      <c r="G176" s="53" t="s">
        <v>354</v>
      </c>
      <c r="H176" s="61">
        <v>5</v>
      </c>
      <c r="I176" s="61">
        <v>0</v>
      </c>
      <c r="J176" s="61">
        <f>H176*AO176</f>
        <v>0</v>
      </c>
      <c r="K176" s="61">
        <f>H176*AP176</f>
        <v>0</v>
      </c>
      <c r="L176" s="61">
        <f>H176*I176</f>
        <v>0</v>
      </c>
      <c r="M176" s="71" t="s">
        <v>367</v>
      </c>
      <c r="N176" s="11"/>
      <c r="Z176" s="12">
        <f>IF(AQ176="5",BJ176,0)</f>
        <v>0</v>
      </c>
      <c r="AB176" s="12">
        <f>IF(AQ176="1",BH176,0)</f>
        <v>0</v>
      </c>
      <c r="AC176" s="12">
        <f>IF(AQ176="1",BI176,0)</f>
        <v>0</v>
      </c>
      <c r="AD176" s="12">
        <f>IF(AQ176="7",BH176,0)</f>
        <v>0</v>
      </c>
      <c r="AE176" s="12">
        <f>IF(AQ176="7",BI176,0)</f>
        <v>0</v>
      </c>
      <c r="AF176" s="12">
        <f>IF(AQ176="2",BH176,0)</f>
        <v>0</v>
      </c>
      <c r="AG176" s="12">
        <f>IF(AQ176="2",BI176,0)</f>
        <v>0</v>
      </c>
      <c r="AH176" s="12">
        <f>IF(AQ176="0",BJ176,0)</f>
        <v>0</v>
      </c>
      <c r="AI176" s="73" t="s">
        <v>7</v>
      </c>
      <c r="AJ176" s="61">
        <f>IF(AN176=0,L176,0)</f>
        <v>0</v>
      </c>
      <c r="AK176" s="61">
        <f>IF(AN176=15,L176,0)</f>
        <v>0</v>
      </c>
      <c r="AL176" s="61">
        <f>IF(AN176=21,L176,0)</f>
        <v>0</v>
      </c>
      <c r="AN176" s="12">
        <v>21</v>
      </c>
      <c r="AO176" s="12">
        <f>I176*0</f>
        <v>0</v>
      </c>
      <c r="AP176" s="12">
        <f>I176*(1-0)</f>
        <v>0</v>
      </c>
      <c r="AQ176" s="74" t="s">
        <v>123</v>
      </c>
      <c r="AV176" s="12">
        <f>AW176+AX176</f>
        <v>0</v>
      </c>
      <c r="AW176" s="12">
        <f>H176*AO176</f>
        <v>0</v>
      </c>
      <c r="AX176" s="12">
        <f>H176*AP176</f>
        <v>0</v>
      </c>
      <c r="AY176" s="75" t="s">
        <v>389</v>
      </c>
      <c r="AZ176" s="75" t="s">
        <v>407</v>
      </c>
      <c r="BA176" s="73" t="s">
        <v>409</v>
      </c>
      <c r="BC176" s="12">
        <f>AW176+AX176</f>
        <v>0</v>
      </c>
      <c r="BD176" s="12">
        <f>I176/(100-BE176)*100</f>
        <v>0</v>
      </c>
      <c r="BE176" s="12">
        <v>0</v>
      </c>
      <c r="BF176" s="12">
        <f>176</f>
        <v>176</v>
      </c>
      <c r="BH176" s="61">
        <f>H176*AO176</f>
        <v>0</v>
      </c>
      <c r="BI176" s="61">
        <f>H176*AP176</f>
        <v>0</v>
      </c>
      <c r="BJ176" s="61">
        <f>H176*I176</f>
        <v>0</v>
      </c>
      <c r="BK176" s="61" t="s">
        <v>414</v>
      </c>
      <c r="BL176" s="12">
        <v>97</v>
      </c>
    </row>
    <row r="177" spans="1:47" ht="12.75">
      <c r="A177" s="45"/>
      <c r="B177" s="52" t="s">
        <v>22</v>
      </c>
      <c r="C177" s="160" t="s">
        <v>38</v>
      </c>
      <c r="D177" s="161"/>
      <c r="E177" s="161"/>
      <c r="F177" s="161"/>
      <c r="G177" s="58" t="s">
        <v>44</v>
      </c>
      <c r="H177" s="58" t="s">
        <v>44</v>
      </c>
      <c r="I177" s="58" t="s">
        <v>44</v>
      </c>
      <c r="J177" s="78">
        <f>SUM(J178:J178)</f>
        <v>0</v>
      </c>
      <c r="K177" s="78">
        <f>SUM(K178:K178)</f>
        <v>0</v>
      </c>
      <c r="L177" s="78">
        <f>SUM(L178:L178)</f>
        <v>0</v>
      </c>
      <c r="M177" s="70"/>
      <c r="N177" s="11"/>
      <c r="AI177" s="73" t="s">
        <v>7</v>
      </c>
      <c r="AS177" s="78">
        <f>SUM(AJ178:AJ178)</f>
        <v>0</v>
      </c>
      <c r="AT177" s="78">
        <f>SUM(AK178:AK178)</f>
        <v>0</v>
      </c>
      <c r="AU177" s="78">
        <f>SUM(AL178:AL178)</f>
        <v>0</v>
      </c>
    </row>
    <row r="178" spans="1:64" ht="12.75">
      <c r="A178" s="46" t="s">
        <v>221</v>
      </c>
      <c r="B178" s="53" t="s">
        <v>271</v>
      </c>
      <c r="C178" s="162" t="s">
        <v>343</v>
      </c>
      <c r="D178" s="163"/>
      <c r="E178" s="163"/>
      <c r="F178" s="163"/>
      <c r="G178" s="53" t="s">
        <v>354</v>
      </c>
      <c r="H178" s="61">
        <v>7</v>
      </c>
      <c r="I178" s="61">
        <v>0</v>
      </c>
      <c r="J178" s="61">
        <f>H178*AO178</f>
        <v>0</v>
      </c>
      <c r="K178" s="61">
        <f>H178*AP178</f>
        <v>0</v>
      </c>
      <c r="L178" s="61">
        <f>H178*I178</f>
        <v>0</v>
      </c>
      <c r="M178" s="71" t="s">
        <v>367</v>
      </c>
      <c r="N178" s="11"/>
      <c r="Z178" s="12">
        <f>IF(AQ178="5",BJ178,0)</f>
        <v>0</v>
      </c>
      <c r="AB178" s="12">
        <f>IF(AQ178="1",BH178,0)</f>
        <v>0</v>
      </c>
      <c r="AC178" s="12">
        <f>IF(AQ178="1",BI178,0)</f>
        <v>0</v>
      </c>
      <c r="AD178" s="12">
        <f>IF(AQ178="7",BH178,0)</f>
        <v>0</v>
      </c>
      <c r="AE178" s="12">
        <f>IF(AQ178="7",BI178,0)</f>
        <v>0</v>
      </c>
      <c r="AF178" s="12">
        <f>IF(AQ178="2",BH178,0)</f>
        <v>0</v>
      </c>
      <c r="AG178" s="12">
        <f>IF(AQ178="2",BI178,0)</f>
        <v>0</v>
      </c>
      <c r="AH178" s="12">
        <f>IF(AQ178="0",BJ178,0)</f>
        <v>0</v>
      </c>
      <c r="AI178" s="73" t="s">
        <v>7</v>
      </c>
      <c r="AJ178" s="61">
        <f>IF(AN178=0,L178,0)</f>
        <v>0</v>
      </c>
      <c r="AK178" s="61">
        <f>IF(AN178=15,L178,0)</f>
        <v>0</v>
      </c>
      <c r="AL178" s="61">
        <f>IF(AN178=21,L178,0)</f>
        <v>0</v>
      </c>
      <c r="AN178" s="12">
        <v>21</v>
      </c>
      <c r="AO178" s="12">
        <f>I178*0</f>
        <v>0</v>
      </c>
      <c r="AP178" s="12">
        <f>I178*(1-0)</f>
        <v>0</v>
      </c>
      <c r="AQ178" s="74" t="s">
        <v>123</v>
      </c>
      <c r="AV178" s="12">
        <f>AW178+AX178</f>
        <v>0</v>
      </c>
      <c r="AW178" s="12">
        <f>H178*AO178</f>
        <v>0</v>
      </c>
      <c r="AX178" s="12">
        <f>H178*AP178</f>
        <v>0</v>
      </c>
      <c r="AY178" s="75" t="s">
        <v>390</v>
      </c>
      <c r="AZ178" s="75" t="s">
        <v>407</v>
      </c>
      <c r="BA178" s="73" t="s">
        <v>409</v>
      </c>
      <c r="BC178" s="12">
        <f>AW178+AX178</f>
        <v>0</v>
      </c>
      <c r="BD178" s="12">
        <f>I178/(100-BE178)*100</f>
        <v>0</v>
      </c>
      <c r="BE178" s="12">
        <v>0</v>
      </c>
      <c r="BF178" s="12">
        <f>178</f>
        <v>178</v>
      </c>
      <c r="BH178" s="61">
        <f>H178*AO178</f>
        <v>0</v>
      </c>
      <c r="BI178" s="61">
        <f>H178*AP178</f>
        <v>0</v>
      </c>
      <c r="BJ178" s="61">
        <f>H178*I178</f>
        <v>0</v>
      </c>
      <c r="BK178" s="61" t="s">
        <v>414</v>
      </c>
      <c r="BL178" s="12" t="s">
        <v>22</v>
      </c>
    </row>
    <row r="179" spans="1:47" ht="12.75">
      <c r="A179" s="45"/>
      <c r="B179" s="52" t="s">
        <v>23</v>
      </c>
      <c r="C179" s="160" t="s">
        <v>39</v>
      </c>
      <c r="D179" s="161"/>
      <c r="E179" s="161"/>
      <c r="F179" s="161"/>
      <c r="G179" s="58" t="s">
        <v>44</v>
      </c>
      <c r="H179" s="58" t="s">
        <v>44</v>
      </c>
      <c r="I179" s="58" t="s">
        <v>44</v>
      </c>
      <c r="J179" s="78">
        <f>SUM(J180:J183)</f>
        <v>0</v>
      </c>
      <c r="K179" s="78">
        <f>SUM(K180:K183)</f>
        <v>0</v>
      </c>
      <c r="L179" s="78">
        <f>SUM(L180:L183)</f>
        <v>0</v>
      </c>
      <c r="M179" s="70"/>
      <c r="N179" s="11"/>
      <c r="AI179" s="73" t="s">
        <v>7</v>
      </c>
      <c r="AS179" s="78">
        <f>SUM(AJ180:AJ183)</f>
        <v>0</v>
      </c>
      <c r="AT179" s="78">
        <f>SUM(AK180:AK183)</f>
        <v>0</v>
      </c>
      <c r="AU179" s="78">
        <f>SUM(AL180:AL183)</f>
        <v>0</v>
      </c>
    </row>
    <row r="180" spans="1:64" ht="12.75">
      <c r="A180" s="46" t="s">
        <v>222</v>
      </c>
      <c r="B180" s="53" t="s">
        <v>272</v>
      </c>
      <c r="C180" s="162" t="s">
        <v>344</v>
      </c>
      <c r="D180" s="163"/>
      <c r="E180" s="163"/>
      <c r="F180" s="163"/>
      <c r="G180" s="53" t="s">
        <v>115</v>
      </c>
      <c r="H180" s="61">
        <v>3</v>
      </c>
      <c r="I180" s="61">
        <v>0</v>
      </c>
      <c r="J180" s="61">
        <f>H180*AO180</f>
        <v>0</v>
      </c>
      <c r="K180" s="61">
        <f>H180*AP180</f>
        <v>0</v>
      </c>
      <c r="L180" s="61">
        <f>H180*I180</f>
        <v>0</v>
      </c>
      <c r="M180" s="71"/>
      <c r="N180" s="11"/>
      <c r="Z180" s="12">
        <f>IF(AQ180="5",BJ180,0)</f>
        <v>0</v>
      </c>
      <c r="AB180" s="12">
        <f>IF(AQ180="1",BH180,0)</f>
        <v>0</v>
      </c>
      <c r="AC180" s="12">
        <f>IF(AQ180="1",BI180,0)</f>
        <v>0</v>
      </c>
      <c r="AD180" s="12">
        <f>IF(AQ180="7",BH180,0)</f>
        <v>0</v>
      </c>
      <c r="AE180" s="12">
        <f>IF(AQ180="7",BI180,0)</f>
        <v>0</v>
      </c>
      <c r="AF180" s="12">
        <f>IF(AQ180="2",BH180,0)</f>
        <v>0</v>
      </c>
      <c r="AG180" s="12">
        <f>IF(AQ180="2",BI180,0)</f>
        <v>0</v>
      </c>
      <c r="AH180" s="12">
        <f>IF(AQ180="0",BJ180,0)</f>
        <v>0</v>
      </c>
      <c r="AI180" s="73" t="s">
        <v>7</v>
      </c>
      <c r="AJ180" s="61">
        <f>IF(AN180=0,L180,0)</f>
        <v>0</v>
      </c>
      <c r="AK180" s="61">
        <f>IF(AN180=15,L180,0)</f>
        <v>0</v>
      </c>
      <c r="AL180" s="61">
        <f>IF(AN180=21,L180,0)</f>
        <v>0</v>
      </c>
      <c r="AN180" s="12">
        <v>21</v>
      </c>
      <c r="AO180" s="12">
        <f>I180*0</f>
        <v>0</v>
      </c>
      <c r="AP180" s="12">
        <f>I180*(1-0)</f>
        <v>0</v>
      </c>
      <c r="AQ180" s="74" t="s">
        <v>120</v>
      </c>
      <c r="AV180" s="12">
        <f>AW180+AX180</f>
        <v>0</v>
      </c>
      <c r="AW180" s="12">
        <f>H180*AO180</f>
        <v>0</v>
      </c>
      <c r="AX180" s="12">
        <f>H180*AP180</f>
        <v>0</v>
      </c>
      <c r="AY180" s="75" t="s">
        <v>391</v>
      </c>
      <c r="AZ180" s="75" t="s">
        <v>407</v>
      </c>
      <c r="BA180" s="73" t="s">
        <v>409</v>
      </c>
      <c r="BC180" s="12">
        <f>AW180+AX180</f>
        <v>0</v>
      </c>
      <c r="BD180" s="12">
        <f>I180/(100-BE180)*100</f>
        <v>0</v>
      </c>
      <c r="BE180" s="12">
        <v>0</v>
      </c>
      <c r="BF180" s="12">
        <f>180</f>
        <v>180</v>
      </c>
      <c r="BH180" s="61">
        <f>H180*AO180</f>
        <v>0</v>
      </c>
      <c r="BI180" s="61">
        <f>H180*AP180</f>
        <v>0</v>
      </c>
      <c r="BJ180" s="61">
        <f>H180*I180</f>
        <v>0</v>
      </c>
      <c r="BK180" s="61" t="s">
        <v>414</v>
      </c>
      <c r="BL180" s="12" t="s">
        <v>23</v>
      </c>
    </row>
    <row r="181" spans="1:64" ht="12.75">
      <c r="A181" s="46" t="s">
        <v>223</v>
      </c>
      <c r="B181" s="53" t="s">
        <v>273</v>
      </c>
      <c r="C181" s="162" t="s">
        <v>345</v>
      </c>
      <c r="D181" s="163"/>
      <c r="E181" s="163"/>
      <c r="F181" s="163"/>
      <c r="G181" s="53" t="s">
        <v>115</v>
      </c>
      <c r="H181" s="61">
        <v>5</v>
      </c>
      <c r="I181" s="61">
        <v>0</v>
      </c>
      <c r="J181" s="61">
        <f>H181*AO181</f>
        <v>0</v>
      </c>
      <c r="K181" s="61">
        <f>H181*AP181</f>
        <v>0</v>
      </c>
      <c r="L181" s="61">
        <f>H181*I181</f>
        <v>0</v>
      </c>
      <c r="M181" s="71"/>
      <c r="N181" s="11"/>
      <c r="Z181" s="12">
        <f>IF(AQ181="5",BJ181,0)</f>
        <v>0</v>
      </c>
      <c r="AB181" s="12">
        <f>IF(AQ181="1",BH181,0)</f>
        <v>0</v>
      </c>
      <c r="AC181" s="12">
        <f>IF(AQ181="1",BI181,0)</f>
        <v>0</v>
      </c>
      <c r="AD181" s="12">
        <f>IF(AQ181="7",BH181,0)</f>
        <v>0</v>
      </c>
      <c r="AE181" s="12">
        <f>IF(AQ181="7",BI181,0)</f>
        <v>0</v>
      </c>
      <c r="AF181" s="12">
        <f>IF(AQ181="2",BH181,0)</f>
        <v>0</v>
      </c>
      <c r="AG181" s="12">
        <f>IF(AQ181="2",BI181,0)</f>
        <v>0</v>
      </c>
      <c r="AH181" s="12">
        <f>IF(AQ181="0",BJ181,0)</f>
        <v>0</v>
      </c>
      <c r="AI181" s="73" t="s">
        <v>7</v>
      </c>
      <c r="AJ181" s="61">
        <f>IF(AN181=0,L181,0)</f>
        <v>0</v>
      </c>
      <c r="AK181" s="61">
        <f>IF(AN181=15,L181,0)</f>
        <v>0</v>
      </c>
      <c r="AL181" s="61">
        <f>IF(AN181=21,L181,0)</f>
        <v>0</v>
      </c>
      <c r="AN181" s="12">
        <v>21</v>
      </c>
      <c r="AO181" s="12">
        <f>I181*0</f>
        <v>0</v>
      </c>
      <c r="AP181" s="12">
        <f>I181*(1-0)</f>
        <v>0</v>
      </c>
      <c r="AQ181" s="74" t="s">
        <v>119</v>
      </c>
      <c r="AV181" s="12">
        <f>AW181+AX181</f>
        <v>0</v>
      </c>
      <c r="AW181" s="12">
        <f>H181*AO181</f>
        <v>0</v>
      </c>
      <c r="AX181" s="12">
        <f>H181*AP181</f>
        <v>0</v>
      </c>
      <c r="AY181" s="75" t="s">
        <v>391</v>
      </c>
      <c r="AZ181" s="75" t="s">
        <v>407</v>
      </c>
      <c r="BA181" s="73" t="s">
        <v>409</v>
      </c>
      <c r="BC181" s="12">
        <f>AW181+AX181</f>
        <v>0</v>
      </c>
      <c r="BD181" s="12">
        <f>I181/(100-BE181)*100</f>
        <v>0</v>
      </c>
      <c r="BE181" s="12">
        <v>0</v>
      </c>
      <c r="BF181" s="12">
        <f>181</f>
        <v>181</v>
      </c>
      <c r="BH181" s="61">
        <f>H181*AO181</f>
        <v>0</v>
      </c>
      <c r="BI181" s="61">
        <f>H181*AP181</f>
        <v>0</v>
      </c>
      <c r="BJ181" s="61">
        <f>H181*I181</f>
        <v>0</v>
      </c>
      <c r="BK181" s="61" t="s">
        <v>414</v>
      </c>
      <c r="BL181" s="12" t="s">
        <v>23</v>
      </c>
    </row>
    <row r="182" spans="1:64" ht="12.75">
      <c r="A182" s="46" t="s">
        <v>224</v>
      </c>
      <c r="B182" s="53" t="s">
        <v>228</v>
      </c>
      <c r="C182" s="162" t="s">
        <v>346</v>
      </c>
      <c r="D182" s="163"/>
      <c r="E182" s="163"/>
      <c r="F182" s="163"/>
      <c r="G182" s="53" t="s">
        <v>352</v>
      </c>
      <c r="H182" s="61">
        <v>1</v>
      </c>
      <c r="I182" s="61">
        <v>0</v>
      </c>
      <c r="J182" s="61">
        <f>H182*AO182</f>
        <v>0</v>
      </c>
      <c r="K182" s="61">
        <f>H182*AP182</f>
        <v>0</v>
      </c>
      <c r="L182" s="61">
        <f>H182*I182</f>
        <v>0</v>
      </c>
      <c r="M182" s="71" t="s">
        <v>367</v>
      </c>
      <c r="N182" s="11"/>
      <c r="Z182" s="12">
        <f>IF(AQ182="5",BJ182,0)</f>
        <v>0</v>
      </c>
      <c r="AB182" s="12">
        <f>IF(AQ182="1",BH182,0)</f>
        <v>0</v>
      </c>
      <c r="AC182" s="12">
        <f>IF(AQ182="1",BI182,0)</f>
        <v>0</v>
      </c>
      <c r="AD182" s="12">
        <f>IF(AQ182="7",BH182,0)</f>
        <v>0</v>
      </c>
      <c r="AE182" s="12">
        <f>IF(AQ182="7",BI182,0)</f>
        <v>0</v>
      </c>
      <c r="AF182" s="12">
        <f>IF(AQ182="2",BH182,0)</f>
        <v>0</v>
      </c>
      <c r="AG182" s="12">
        <f>IF(AQ182="2",BI182,0)</f>
        <v>0</v>
      </c>
      <c r="AH182" s="12">
        <f>IF(AQ182="0",BJ182,0)</f>
        <v>0</v>
      </c>
      <c r="AI182" s="73" t="s">
        <v>7</v>
      </c>
      <c r="AJ182" s="61">
        <f>IF(AN182=0,L182,0)</f>
        <v>0</v>
      </c>
      <c r="AK182" s="61">
        <f>IF(AN182=15,L182,0)</f>
        <v>0</v>
      </c>
      <c r="AL182" s="61">
        <f>IF(AN182=21,L182,0)</f>
        <v>0</v>
      </c>
      <c r="AN182" s="12">
        <v>21</v>
      </c>
      <c r="AO182" s="12">
        <f>I182*0.392628</f>
        <v>0</v>
      </c>
      <c r="AP182" s="12">
        <f>I182*(1-0.392628)</f>
        <v>0</v>
      </c>
      <c r="AQ182" s="74" t="s">
        <v>119</v>
      </c>
      <c r="AV182" s="12">
        <f>AW182+AX182</f>
        <v>0</v>
      </c>
      <c r="AW182" s="12">
        <f>H182*AO182</f>
        <v>0</v>
      </c>
      <c r="AX182" s="12">
        <f>H182*AP182</f>
        <v>0</v>
      </c>
      <c r="AY182" s="75" t="s">
        <v>391</v>
      </c>
      <c r="AZ182" s="75" t="s">
        <v>407</v>
      </c>
      <c r="BA182" s="73" t="s">
        <v>409</v>
      </c>
      <c r="BC182" s="12">
        <f>AW182+AX182</f>
        <v>0</v>
      </c>
      <c r="BD182" s="12">
        <f>I182/(100-BE182)*100</f>
        <v>0</v>
      </c>
      <c r="BE182" s="12">
        <v>0</v>
      </c>
      <c r="BF182" s="12">
        <f>182</f>
        <v>182</v>
      </c>
      <c r="BH182" s="61">
        <f>H182*AO182</f>
        <v>0</v>
      </c>
      <c r="BI182" s="61">
        <f>H182*AP182</f>
        <v>0</v>
      </c>
      <c r="BJ182" s="61">
        <f>H182*I182</f>
        <v>0</v>
      </c>
      <c r="BK182" s="61" t="s">
        <v>414</v>
      </c>
      <c r="BL182" s="12" t="s">
        <v>23</v>
      </c>
    </row>
    <row r="183" spans="1:64" ht="12.75">
      <c r="A183" s="46" t="s">
        <v>103</v>
      </c>
      <c r="B183" s="53" t="s">
        <v>272</v>
      </c>
      <c r="C183" s="162" t="s">
        <v>347</v>
      </c>
      <c r="D183" s="163"/>
      <c r="E183" s="163"/>
      <c r="F183" s="163"/>
      <c r="G183" s="53" t="s">
        <v>352</v>
      </c>
      <c r="H183" s="61">
        <v>1</v>
      </c>
      <c r="I183" s="61">
        <v>0</v>
      </c>
      <c r="J183" s="61">
        <f>H183*AO183</f>
        <v>0</v>
      </c>
      <c r="K183" s="61">
        <f>H183*AP183</f>
        <v>0</v>
      </c>
      <c r="L183" s="61">
        <f>H183*I183</f>
        <v>0</v>
      </c>
      <c r="M183" s="71"/>
      <c r="N183" s="11"/>
      <c r="Z183" s="12">
        <f>IF(AQ183="5",BJ183,0)</f>
        <v>0</v>
      </c>
      <c r="AB183" s="12">
        <f>IF(AQ183="1",BH183,0)</f>
        <v>0</v>
      </c>
      <c r="AC183" s="12">
        <f>IF(AQ183="1",BI183,0)</f>
        <v>0</v>
      </c>
      <c r="AD183" s="12">
        <f>IF(AQ183="7",BH183,0)</f>
        <v>0</v>
      </c>
      <c r="AE183" s="12">
        <f>IF(AQ183="7",BI183,0)</f>
        <v>0</v>
      </c>
      <c r="AF183" s="12">
        <f>IF(AQ183="2",BH183,0)</f>
        <v>0</v>
      </c>
      <c r="AG183" s="12">
        <f>IF(AQ183="2",BI183,0)</f>
        <v>0</v>
      </c>
      <c r="AH183" s="12">
        <f>IF(AQ183="0",BJ183,0)</f>
        <v>0</v>
      </c>
      <c r="AI183" s="73" t="s">
        <v>7</v>
      </c>
      <c r="AJ183" s="61">
        <f>IF(AN183=0,L183,0)</f>
        <v>0</v>
      </c>
      <c r="AK183" s="61">
        <f>IF(AN183=15,L183,0)</f>
        <v>0</v>
      </c>
      <c r="AL183" s="61">
        <f>IF(AN183=21,L183,0)</f>
        <v>0</v>
      </c>
      <c r="AN183" s="12">
        <v>21</v>
      </c>
      <c r="AO183" s="12">
        <f>I183*0</f>
        <v>0</v>
      </c>
      <c r="AP183" s="12">
        <f>I183*(1-0)</f>
        <v>0</v>
      </c>
      <c r="AQ183" s="74" t="s">
        <v>120</v>
      </c>
      <c r="AV183" s="12">
        <f>AW183+AX183</f>
        <v>0</v>
      </c>
      <c r="AW183" s="12">
        <f>H183*AO183</f>
        <v>0</v>
      </c>
      <c r="AX183" s="12">
        <f>H183*AP183</f>
        <v>0</v>
      </c>
      <c r="AY183" s="75" t="s">
        <v>391</v>
      </c>
      <c r="AZ183" s="75" t="s">
        <v>407</v>
      </c>
      <c r="BA183" s="73" t="s">
        <v>409</v>
      </c>
      <c r="BC183" s="12">
        <f>AW183+AX183</f>
        <v>0</v>
      </c>
      <c r="BD183" s="12">
        <f>I183/(100-BE183)*100</f>
        <v>0</v>
      </c>
      <c r="BE183" s="12">
        <v>0</v>
      </c>
      <c r="BF183" s="12">
        <f>183</f>
        <v>183</v>
      </c>
      <c r="BH183" s="61">
        <f>H183*AO183</f>
        <v>0</v>
      </c>
      <c r="BI183" s="61">
        <f>H183*AP183</f>
        <v>0</v>
      </c>
      <c r="BJ183" s="61">
        <f>H183*I183</f>
        <v>0</v>
      </c>
      <c r="BK183" s="61" t="s">
        <v>414</v>
      </c>
      <c r="BL183" s="12" t="s">
        <v>23</v>
      </c>
    </row>
    <row r="184" spans="1:14" ht="12.75">
      <c r="A184" s="25"/>
      <c r="B184" s="56" t="s">
        <v>227</v>
      </c>
      <c r="C184" s="169" t="s">
        <v>416</v>
      </c>
      <c r="D184" s="170"/>
      <c r="E184" s="170"/>
      <c r="F184" s="170"/>
      <c r="G184" s="170"/>
      <c r="H184" s="170"/>
      <c r="I184" s="170"/>
      <c r="J184" s="170"/>
      <c r="K184" s="170"/>
      <c r="L184" s="170"/>
      <c r="M184" s="171"/>
      <c r="N184" s="11"/>
    </row>
    <row r="185" spans="1:13" ht="12.75">
      <c r="A185" s="19"/>
      <c r="B185" s="19"/>
      <c r="C185" s="19"/>
      <c r="D185" s="19"/>
      <c r="E185" s="19"/>
      <c r="F185" s="19"/>
      <c r="G185" s="19"/>
      <c r="H185" s="19"/>
      <c r="I185" s="19"/>
      <c r="J185" s="172" t="s">
        <v>51</v>
      </c>
      <c r="K185" s="104"/>
      <c r="L185" s="80">
        <f>L13+L17+L28+L32+L37+L43+L45+L47+L61+L66+L70+L72+L88+L92+L94+L101+L103+L114+L118+L123+L129+L131+L133+L147+L152+L156+L158+L173+L177+L179</f>
        <v>0</v>
      </c>
      <c r="M185" s="19"/>
    </row>
    <row r="186" ht="11.25" customHeight="1">
      <c r="A186" s="48" t="s">
        <v>69</v>
      </c>
    </row>
    <row r="187" spans="1:13" ht="25.5" customHeight="1">
      <c r="A187" s="95" t="s">
        <v>70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</row>
  </sheetData>
  <sheetProtection/>
  <mergeCells count="203">
    <mergeCell ref="C183:F183"/>
    <mergeCell ref="C184:M184"/>
    <mergeCell ref="J185:K185"/>
    <mergeCell ref="A187:M187"/>
    <mergeCell ref="C177:F177"/>
    <mergeCell ref="C178:F178"/>
    <mergeCell ref="C179:F179"/>
    <mergeCell ref="C180:F180"/>
    <mergeCell ref="C181:F181"/>
    <mergeCell ref="C182:F182"/>
    <mergeCell ref="C171:F171"/>
    <mergeCell ref="C172:F172"/>
    <mergeCell ref="C173:F173"/>
    <mergeCell ref="C174:F174"/>
    <mergeCell ref="C175:F175"/>
    <mergeCell ref="C176:F176"/>
    <mergeCell ref="C165:F165"/>
    <mergeCell ref="C166:M166"/>
    <mergeCell ref="C167:F167"/>
    <mergeCell ref="C168:F168"/>
    <mergeCell ref="C169:F169"/>
    <mergeCell ref="C170:F170"/>
    <mergeCell ref="C159:F159"/>
    <mergeCell ref="C160:F160"/>
    <mergeCell ref="C161:F161"/>
    <mergeCell ref="C162:F162"/>
    <mergeCell ref="C163:F163"/>
    <mergeCell ref="C164:F164"/>
    <mergeCell ref="C153:F153"/>
    <mergeCell ref="C154:M154"/>
    <mergeCell ref="C155:F155"/>
    <mergeCell ref="C156:F156"/>
    <mergeCell ref="C157:F157"/>
    <mergeCell ref="C158:F158"/>
    <mergeCell ref="C147:F147"/>
    <mergeCell ref="C148:F148"/>
    <mergeCell ref="C149:F149"/>
    <mergeCell ref="C150:F150"/>
    <mergeCell ref="C151:F151"/>
    <mergeCell ref="C152:F152"/>
    <mergeCell ref="C141:M141"/>
    <mergeCell ref="C142:F142"/>
    <mergeCell ref="C143:M143"/>
    <mergeCell ref="C144:F144"/>
    <mergeCell ref="C145:M145"/>
    <mergeCell ref="C146:F146"/>
    <mergeCell ref="C135:M135"/>
    <mergeCell ref="C136:F136"/>
    <mergeCell ref="C137:M137"/>
    <mergeCell ref="C138:F138"/>
    <mergeCell ref="C139:M139"/>
    <mergeCell ref="C140:F140"/>
    <mergeCell ref="C129:F129"/>
    <mergeCell ref="C130:F130"/>
    <mergeCell ref="C131:F131"/>
    <mergeCell ref="C132:F132"/>
    <mergeCell ref="C133:F133"/>
    <mergeCell ref="C134:F134"/>
    <mergeCell ref="C123:F123"/>
    <mergeCell ref="C124:F124"/>
    <mergeCell ref="C125:M125"/>
    <mergeCell ref="C126:F126"/>
    <mergeCell ref="C127:M127"/>
    <mergeCell ref="C128:F128"/>
    <mergeCell ref="C117:F117"/>
    <mergeCell ref="C118:F118"/>
    <mergeCell ref="C119:F119"/>
    <mergeCell ref="C120:F120"/>
    <mergeCell ref="C121:F121"/>
    <mergeCell ref="C122:F122"/>
    <mergeCell ref="C111:F111"/>
    <mergeCell ref="C112:F112"/>
    <mergeCell ref="C113:M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M110"/>
    <mergeCell ref="C99:M99"/>
    <mergeCell ref="C100:F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5:F75"/>
    <mergeCell ref="C76:F76"/>
    <mergeCell ref="C77:F77"/>
    <mergeCell ref="C78:F78"/>
    <mergeCell ref="C79:F79"/>
    <mergeCell ref="C80:M80"/>
    <mergeCell ref="C69:F69"/>
    <mergeCell ref="C70:F70"/>
    <mergeCell ref="C71:F71"/>
    <mergeCell ref="C72:F72"/>
    <mergeCell ref="C73:F73"/>
    <mergeCell ref="C74:F74"/>
    <mergeCell ref="C63:F63"/>
    <mergeCell ref="C64:F64"/>
    <mergeCell ref="C65:F65"/>
    <mergeCell ref="C66:F66"/>
    <mergeCell ref="C67:F67"/>
    <mergeCell ref="C68:M68"/>
    <mergeCell ref="C57:M57"/>
    <mergeCell ref="C58:F58"/>
    <mergeCell ref="C59:M59"/>
    <mergeCell ref="C60:F60"/>
    <mergeCell ref="C61:F61"/>
    <mergeCell ref="C62:F62"/>
    <mergeCell ref="C51:M51"/>
    <mergeCell ref="C52:F52"/>
    <mergeCell ref="C53:M53"/>
    <mergeCell ref="C54:F54"/>
    <mergeCell ref="C55:M55"/>
    <mergeCell ref="C56:F56"/>
    <mergeCell ref="C45:F45"/>
    <mergeCell ref="C46:F46"/>
    <mergeCell ref="C47:F47"/>
    <mergeCell ref="C48:F48"/>
    <mergeCell ref="C49:M49"/>
    <mergeCell ref="C50:F50"/>
    <mergeCell ref="C39:M39"/>
    <mergeCell ref="C40:F40"/>
    <mergeCell ref="C41:M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M27"/>
    <mergeCell ref="C28:F28"/>
    <mergeCell ref="C29:F29"/>
    <mergeCell ref="C30:F30"/>
    <mergeCell ref="C31:F31"/>
    <mergeCell ref="C32:F32"/>
    <mergeCell ref="C21:F21"/>
    <mergeCell ref="C22:F22"/>
    <mergeCell ref="C23:F23"/>
    <mergeCell ref="C24:M24"/>
    <mergeCell ref="C25:F25"/>
    <mergeCell ref="C26:F26"/>
    <mergeCell ref="C15:F15"/>
    <mergeCell ref="C16:M16"/>
    <mergeCell ref="C17:F17"/>
    <mergeCell ref="C18:F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Krásná</cp:lastModifiedBy>
  <dcterms:modified xsi:type="dcterms:W3CDTF">2022-08-16T06:23:21Z</dcterms:modified>
  <cp:category/>
  <cp:version/>
  <cp:contentType/>
  <cp:contentStatus/>
</cp:coreProperties>
</file>