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500" tabRatio="701" activeTab="2"/>
  </bookViews>
  <sheets>
    <sheet name="SO 101.1" sheetId="4" r:id="rId1"/>
    <sheet name="SO 101.2" sheetId="9" r:id="rId2"/>
    <sheet name="SO 201" sheetId="7" r:id="rId3"/>
  </sheets>
  <externalReferences>
    <externalReference r:id="rId6"/>
  </externalReferences>
  <definedNames>
    <definedName name="cisloobjektu">'[1]Krycí list'!$A$5</definedName>
    <definedName name="cislostavby">'[1]Krycí list'!$A$7</definedName>
    <definedName name="Dodavka">'[1]Rekapitulace'!$G$8</definedName>
    <definedName name="Dodavka0" localSheetId="1">#REF!</definedName>
    <definedName name="Dodavka0" localSheetId="2">#REF!</definedName>
    <definedName name="Dodavka0">#REF!</definedName>
    <definedName name="HSV">'[1]Rekapitulace'!$E$8</definedName>
    <definedName name="HSV0" localSheetId="1">#REF!</definedName>
    <definedName name="HSV0" localSheetId="2">#REF!</definedName>
    <definedName name="HSV0">#REF!</definedName>
    <definedName name="HZS">'[1]Rekapitulace'!$I$8</definedName>
    <definedName name="HZS0" localSheetId="1">#REF!</definedName>
    <definedName name="HZS0" localSheetId="2">#REF!</definedName>
    <definedName name="HZS0">#REF!</definedName>
    <definedName name="Mont">'[1]Rekapitulace'!$H$8</definedName>
    <definedName name="Montaz0" localSheetId="1">#REF!</definedName>
    <definedName name="Montaz0" localSheetId="2">#REF!</definedName>
    <definedName name="Montaz0">#REF!</definedName>
    <definedName name="nazevobjektu">'[1]Krycí list'!$C$5</definedName>
    <definedName name="nazevstavby">'[1]Krycí list'!$C$7</definedName>
    <definedName name="_xlnm.Print_Area" localSheetId="0">'SO 101.1'!$A$1:$I$39</definedName>
    <definedName name="_xlnm.Print_Area" localSheetId="1">'SO 101.2'!$A$1:$I$39</definedName>
    <definedName name="_xlnm.Print_Area" localSheetId="2">'SO 201'!$A$1:$I$128</definedName>
    <definedName name="PocetMJ">'[1]Krycí list'!$G$6</definedName>
    <definedName name="Projektant">'[1]Krycí list'!$C$8</definedName>
    <definedName name="PSV">'[1]Rekapitulace'!$F$8</definedName>
    <definedName name="PSV0" localSheetId="1">#REF!</definedName>
    <definedName name="PSV0" localSheetId="2">#REF!</definedName>
    <definedName name="PSV0">#REF!</definedName>
    <definedName name="SazbaDPH1">'[1]Krycí list'!$C$30</definedName>
    <definedName name="SazbaDPH2">'[1]Krycí list'!$C$32</definedName>
    <definedName name="Typ" localSheetId="1">#REF!</definedName>
    <definedName name="Typ" localSheetId="2">#REF!</definedName>
    <definedName name="Typ">#REF!</definedName>
    <definedName name="VRN">'[1]Rekapitulace'!$H$14</definedName>
  </definedNames>
  <calcPr calcId="191029"/>
  <extLst/>
</workbook>
</file>

<file path=xl/sharedStrings.xml><?xml version="1.0" encoding="utf-8"?>
<sst xmlns="http://schemas.openxmlformats.org/spreadsheetml/2006/main" count="462" uniqueCount="249">
  <si>
    <t>m2</t>
  </si>
  <si>
    <t>m</t>
  </si>
  <si>
    <t xml:space="preserve">Položkový rozpočet </t>
  </si>
  <si>
    <t>Stavba :</t>
  </si>
  <si>
    <t>Rozpočet: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</si>
  <si>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</si>
  <si>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</si>
  <si>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</si>
  <si>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</si>
  <si>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</si>
  <si>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</si>
  <si>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</si>
  <si>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</si>
  <si>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jedn. hmotnost</t>
  </si>
  <si>
    <t>celkem hmotnost</t>
  </si>
  <si>
    <t>009</t>
  </si>
  <si>
    <t>Ostatní konstrukce a práce</t>
  </si>
  <si>
    <t>Zpracování dokumentace DSP</t>
  </si>
  <si>
    <t>kpl</t>
  </si>
  <si>
    <t xml:space="preserve">Zaměření skutečného provedení stavby </t>
  </si>
  <si>
    <t xml:space="preserve">Vytyčení inženýrských sítí </t>
  </si>
  <si>
    <t>1</t>
  </si>
  <si>
    <t xml:space="preserve">Zemní práce </t>
  </si>
  <si>
    <t>m3</t>
  </si>
  <si>
    <t>t</t>
  </si>
  <si>
    <t>11</t>
  </si>
  <si>
    <t xml:space="preserve">Přípravné a přidružené práce </t>
  </si>
  <si>
    <t>56</t>
  </si>
  <si>
    <t xml:space="preserve">Podkladní vrstvy komunikací </t>
  </si>
  <si>
    <t>ks</t>
  </si>
  <si>
    <t>91</t>
  </si>
  <si>
    <t>Doplňující konstrukce a práce</t>
  </si>
  <si>
    <t>99</t>
  </si>
  <si>
    <t xml:space="preserve">Přesu hmot </t>
  </si>
  <si>
    <t>Celkem bez DPH</t>
  </si>
  <si>
    <t>DPH 21%</t>
  </si>
  <si>
    <t>Celkem s DPH</t>
  </si>
  <si>
    <t>99722-1551</t>
  </si>
  <si>
    <t>99722-1559</t>
  </si>
  <si>
    <t xml:space="preserve">Izolace proti vod, vlhkosti a plynům </t>
  </si>
  <si>
    <t>Zakládání</t>
  </si>
  <si>
    <t xml:space="preserve">Zařízení staveniště </t>
  </si>
  <si>
    <t>911213R</t>
  </si>
  <si>
    <t>Ocelové most zábradlí žár zinkov s nátěrem</t>
  </si>
  <si>
    <t>Rekonstrukce mostu přes Polepský potok</t>
  </si>
  <si>
    <t>SO 201 - most</t>
  </si>
  <si>
    <t>98</t>
  </si>
  <si>
    <t>Demolice objektů</t>
  </si>
  <si>
    <t>27432-1117</t>
  </si>
  <si>
    <t>27435-4111</t>
  </si>
  <si>
    <t>27435-4211</t>
  </si>
  <si>
    <t>27436-1116</t>
  </si>
  <si>
    <t>33435-1115</t>
  </si>
  <si>
    <t>33435-2112</t>
  </si>
  <si>
    <t>33435-2212</t>
  </si>
  <si>
    <t>33436-1216</t>
  </si>
  <si>
    <t>3</t>
  </si>
  <si>
    <t>31732-1118</t>
  </si>
  <si>
    <t>31735-3121</t>
  </si>
  <si>
    <t>31735-3221</t>
  </si>
  <si>
    <t>31736-1116</t>
  </si>
  <si>
    <t>Svislé nosné konstrukce</t>
  </si>
  <si>
    <t>4</t>
  </si>
  <si>
    <t xml:space="preserve">Vodorovné nosné konstrukce </t>
  </si>
  <si>
    <t>42135-1131</t>
  </si>
  <si>
    <t>42135-1231</t>
  </si>
  <si>
    <t>42136-1226</t>
  </si>
  <si>
    <t>42195-5113</t>
  </si>
  <si>
    <t>42195-5213</t>
  </si>
  <si>
    <t>Lešení</t>
  </si>
  <si>
    <t>Pás asfaltovaný modifikovaný tl. 5mm</t>
  </si>
  <si>
    <t>31717-1127</t>
  </si>
  <si>
    <t xml:space="preserve">Převedení vody potrubím pr přes 300 do 600 mm </t>
  </si>
  <si>
    <t>11500-1105</t>
  </si>
  <si>
    <t xml:space="preserve">Čerpání vody do 10 m do 500l/min </t>
  </si>
  <si>
    <t>11510-1201</t>
  </si>
  <si>
    <t>hod</t>
  </si>
  <si>
    <t>11510-1301</t>
  </si>
  <si>
    <t>den</t>
  </si>
  <si>
    <t>Komunikace</t>
  </si>
  <si>
    <t>SO 101.2 - komunikace "Polepy"</t>
  </si>
  <si>
    <t>SO 101.1 - komunikace "Kolín"</t>
  </si>
  <si>
    <t>28311-1112</t>
  </si>
  <si>
    <t>28311-1122</t>
  </si>
  <si>
    <t>Zpracování dokumentace skutečného provedení</t>
  </si>
  <si>
    <t xml:space="preserve">provádění zkoušek </t>
  </si>
  <si>
    <t xml:space="preserve">Zpracování dokumentace skutečného provedení </t>
  </si>
  <si>
    <t>12255-1104</t>
  </si>
  <si>
    <t>Odkopávky a prokopávky nezapažené strojně v hor tř III skupiny 6 přes 100 do 500 m3</t>
  </si>
  <si>
    <t>12900-1101</t>
  </si>
  <si>
    <t>Příplatek k cenám za ztížení vykopávky v blízkosti podzemního vedení</t>
  </si>
  <si>
    <t>16245-1146</t>
  </si>
  <si>
    <t xml:space="preserve">Vodorovné přemístění výkopku z horniny tř. III sk6 a 7 bez naložení přes 1500 do 2000m </t>
  </si>
  <si>
    <t>17125-1201</t>
  </si>
  <si>
    <t xml:space="preserve">Uložení sypaninyna skládky bez hutnění </t>
  </si>
  <si>
    <t>17120-1221</t>
  </si>
  <si>
    <t>Poplatek za uložení odpadu ze sypaniny na skládce (skládkovné) 17 05 04</t>
  </si>
  <si>
    <t>18191-2112</t>
  </si>
  <si>
    <t>Úprava pláně v hornině třídy těžitelnosti I skupiny 3 se zhutněním ručně</t>
  </si>
  <si>
    <t>11310-7162</t>
  </si>
  <si>
    <t>Odstranění podkladu z kameniva drceného tl přes 100 do 200 mm strojně pl přes 50 do 200 m2</t>
  </si>
  <si>
    <t>56486-1111</t>
  </si>
  <si>
    <t>Podklad ze štěrkodrtě ŠD tl 200 mm</t>
  </si>
  <si>
    <t>56491-1511</t>
  </si>
  <si>
    <t>Podklad z R-materiálu tl 50 mm</t>
  </si>
  <si>
    <t>56991-1131</t>
  </si>
  <si>
    <t>Zpevnění krajnic asfaltovým recyklátem tl 50 mm</t>
  </si>
  <si>
    <t>91613-1113</t>
  </si>
  <si>
    <t>Osazení silničního obrubníku betonového ležatého s boční opěrou do lože z betonu prostého</t>
  </si>
  <si>
    <t>Vodorovná doprava suti ze sypkých materiálů do 1 km</t>
  </si>
  <si>
    <t>Příplatek ZKD 1 km u vodorovné dopravy suti ze sypkých materiálů</t>
  </si>
  <si>
    <t>99822-5111</t>
  </si>
  <si>
    <t>Přesun hmot pro pozemní komunikace s krytem z kamene, monolitickým betonovým nebo živičným</t>
  </si>
  <si>
    <t>11121-1101</t>
  </si>
  <si>
    <t>Odstranění křovin a stromů s odstraněním kořenů strojně pr kmene do 100 mm v rovině</t>
  </si>
  <si>
    <t>11121-1231</t>
  </si>
  <si>
    <t>Snesení větví stromů na hromady nebo naložení na dopr prostředek listnatých v rovině pr do 30 cm</t>
  </si>
  <si>
    <t>11121-1232</t>
  </si>
  <si>
    <t>Snesení větví stromů na hromady nebo naložení na dopr prostředek listnatých v rovině pr přes 30 cm</t>
  </si>
  <si>
    <t>11210-1104</t>
  </si>
  <si>
    <t>Odstranění stromu s odřezáním kmene as odvětvením listnatých pr kmene přes 700 do 900 mm</t>
  </si>
  <si>
    <t>11210-1103</t>
  </si>
  <si>
    <t>Odstranění stromu s odřezáním kmene as odvětvením listnatých pr kmene přes 500 do 700 mm</t>
  </si>
  <si>
    <t>11225-1104</t>
  </si>
  <si>
    <t>Odstranění pařezů strojně s jejich vykopáním, vytrháním nebo odstřelem pr přřes 700 do 900 mm</t>
  </si>
  <si>
    <t xml:space="preserve">Pohotovost čerpací soupravy do 10 m s uvažovaným přítokem do 500l/min </t>
  </si>
  <si>
    <t>11900-1406</t>
  </si>
  <si>
    <t>Dočasné zajištění potrubí ve výkopišti podepřením, vyvěšením nebo ochranným bedněním potr plastového DN přes 200 do 500 mm</t>
  </si>
  <si>
    <t>11900-1421</t>
  </si>
  <si>
    <t>Dočasné zajištění kabelů ve výkopišti podepřením, vyvěšením nebo ochranným bedněním z volně lož kabelů do 3 ks</t>
  </si>
  <si>
    <t>11900-3227</t>
  </si>
  <si>
    <t>Pomocné konstrukce zabezpečení výkopu svislé, ocelové oplocení výšky přes 1,5 do 2,2 m zřízení</t>
  </si>
  <si>
    <t>11900-3228</t>
  </si>
  <si>
    <t>Pomocné konstrukce zabezpečení výkopu svislé, ocelové oplocení výšky přes 1,5 do 2,2 m ostranění</t>
  </si>
  <si>
    <t>11900-4111</t>
  </si>
  <si>
    <t>Pomocné konstrukce zabezpečení výkopu bezpečný vstup žebříkem zřízení</t>
  </si>
  <si>
    <t>11900-4112</t>
  </si>
  <si>
    <t>Pomocné konstrukce zabezpečení výkopu bezpečný vstup žebříkem odstranění</t>
  </si>
  <si>
    <t>15110-1201</t>
  </si>
  <si>
    <t>Zřízení pažení stěn výkopu příložné hl do 4,0 m</t>
  </si>
  <si>
    <t>15110-1211</t>
  </si>
  <si>
    <t>Odstranění pažení stěn výkopu příložné hl do 4,0 m</t>
  </si>
  <si>
    <t>16715-1113</t>
  </si>
  <si>
    <t>Nakládání a skládání výkopku strojně tř III sk 6 a 7 přes 100 m3</t>
  </si>
  <si>
    <t>17415-1101</t>
  </si>
  <si>
    <t xml:space="preserve">Zásyp sypaninou strojně z horniny se zhutněním kolem objektů </t>
  </si>
  <si>
    <t>22542-1114</t>
  </si>
  <si>
    <t>Vrty maloprof jádrovéD přes 156 do 195 mm úklon do 45°hl 0 až 25 m hornina III a IV omezený prostor</t>
  </si>
  <si>
    <t>Zřízení trubkových mikropilot svislých část hldká D přes 80 do 105 mm</t>
  </si>
  <si>
    <t>Zřízení trubkových mikropilot svislých část manžetová D přes 80 do 105 mm</t>
  </si>
  <si>
    <t>28260-1121</t>
  </si>
  <si>
    <t>Injektování vrtů vysokotlaké sestupné s jednoduchým obturátorem tlakem přes 0,6 do 2 MPa</t>
  </si>
  <si>
    <t>28313-1112</t>
  </si>
  <si>
    <t>Zřízení hlavy mikropilot namáhaných tlakem i tahem D přes 80 do 105 mm</t>
  </si>
  <si>
    <t>99800-4011</t>
  </si>
  <si>
    <t>Přesun hmot pro injektování, kotvy a mikropiloty</t>
  </si>
  <si>
    <t>Základové pasy, prahy, věnce a ostruhy mostních konstrukcí ze ŽB C 25/30</t>
  </si>
  <si>
    <t>Bednění základových pasů - zřízení</t>
  </si>
  <si>
    <t>Bednění základových pasů - odstranění</t>
  </si>
  <si>
    <t>Výztuž základových pasů, prahů, věnců a ostruh z betonářské oceli 10 505</t>
  </si>
  <si>
    <t>45131-5114</t>
  </si>
  <si>
    <t>Podkladní nebo výplňová vrstva z betonu C 12/15 tl do 100 mm</t>
  </si>
  <si>
    <t>33432-3118</t>
  </si>
  <si>
    <t>Mostní opěry a úložné prahy ze ŽB C 30/37</t>
  </si>
  <si>
    <t>Bednění systémové mostních opěr a úložných prahů z palubek pro ŽB - zřízení</t>
  </si>
  <si>
    <t>33435-1211</t>
  </si>
  <si>
    <t>Bednění systémové mostních opěr a úložných prahů z překližek - odstranění</t>
  </si>
  <si>
    <t>Výztuž dříků opěr z betonářské oceli 10 505</t>
  </si>
  <si>
    <t>33432-3218</t>
  </si>
  <si>
    <t>Mostní křídla a závěrné zídky ze ŽB C 30/37</t>
  </si>
  <si>
    <t>Bednění mostních křídel a závěrných zídek ze systémového bednění s výplní z palubek - zřízení</t>
  </si>
  <si>
    <t>Bednění mostních křídel a závěrných zídek ze systémového bednění s výplní z palubek - odstranění</t>
  </si>
  <si>
    <t>334361226</t>
  </si>
  <si>
    <t>Výztuž křídel, závěrných zdí z betonářské oceli 10 505</t>
  </si>
  <si>
    <t>Mostní římsy ze ŽB C 30/37</t>
  </si>
  <si>
    <t>Bednění mostních říms všech tvarů - zřízení</t>
  </si>
  <si>
    <t>Bednění mostních říms všech tvarů - odstranění</t>
  </si>
  <si>
    <t>Výztuž mostních říms z betonářské oceli 10 505</t>
  </si>
  <si>
    <t>31766-11131</t>
  </si>
  <si>
    <t>Výplň spár monolitické římsy tmelem silikonovým šířky spáry do 15 mm</t>
  </si>
  <si>
    <t>Kotvení monolitického betonu římsy do mostovky kotvou talířovou</t>
  </si>
  <si>
    <t>34817-1112</t>
  </si>
  <si>
    <t>Osazení mostního ocelového zábradlí nesnímatelného do bednění kapes říms</t>
  </si>
  <si>
    <t>91133-4122</t>
  </si>
  <si>
    <t>Svodidlo ocelové zábradelní zádržnosti H2 kotvené do římsy s výplní ze svislých tyčí</t>
  </si>
  <si>
    <t>42132-1108</t>
  </si>
  <si>
    <t>Mostní nosné konstrukce deskové přechodové ze ŽB C 30/37</t>
  </si>
  <si>
    <t>Bednění z palubek na mostní skruži - zřízení</t>
  </si>
  <si>
    <t>Bednění z palubek na mostní skruži - odstranění</t>
  </si>
  <si>
    <t>Bednění boční stěny konstrukcí mostů výšky do 350 mm - zřízení</t>
  </si>
  <si>
    <t>Bednění stěny boční konstrukcí mostů výšky do 350 mm - odstranění</t>
  </si>
  <si>
    <t>Výztuž ŽB deskového mostu z betonářské oceli 10 505</t>
  </si>
  <si>
    <t>42838-1313</t>
  </si>
  <si>
    <t>Zřízení pérového kloubu mostní desky ze ŽB</t>
  </si>
  <si>
    <t>42838-6215</t>
  </si>
  <si>
    <t>Samostatná výztuž kloubu do 12 mm</t>
  </si>
  <si>
    <t>45147-5121</t>
  </si>
  <si>
    <t>Podkladní vrstva plastbetonová samonivelační první vrstva tl 10 mm</t>
  </si>
  <si>
    <t>42994-1011</t>
  </si>
  <si>
    <t>Odskružení bednění na podpěrné konstrukci - šroubové stoličky zatížení přes 250 do 500 kN - zřízení</t>
  </si>
  <si>
    <t>46551-3257</t>
  </si>
  <si>
    <t>Dlažba svahu u opěr z upraveného lomového žulového kamene tl 250 mm do lože C 25/30 pl přes 10 m2</t>
  </si>
  <si>
    <t>45131-5116</t>
  </si>
  <si>
    <t>Podkladní nebo výplňová vrstva z betonu C 20/25 tl do 100 mm</t>
  </si>
  <si>
    <t>57714-5132</t>
  </si>
  <si>
    <t>Asfaltový beton vrstva ložní ACL 16 (ABH) tl 50 mm š do 3 m z modifikovaného asfaltu</t>
  </si>
  <si>
    <t>57713-4131</t>
  </si>
  <si>
    <t>Asfaltový beton vrstva obrusná ACO 11 (ABS) tř. I tl 40 mm š do 3 m z modifikovaného asfaltu</t>
  </si>
  <si>
    <t>71119-1001</t>
  </si>
  <si>
    <t>Provedení adhezního můstku na vodorovné ploše</t>
  </si>
  <si>
    <t>21314-1131</t>
  </si>
  <si>
    <t>Zřízení vrstvy z geotextilie ve sklonu přes 1:2 do 1:1 š do 3 m</t>
  </si>
  <si>
    <t>geotextilie netkaná separační, ochranná, filtrační, drenážní PES 800g/m2</t>
  </si>
  <si>
    <t>71134-1564</t>
  </si>
  <si>
    <t>Provedení hydroizolace mostovek pásy přitavením NAIP</t>
  </si>
  <si>
    <t>71114-1559</t>
  </si>
  <si>
    <t>Provedení izolace proti zemní vlhkosti pásy přitavením vodorovné NAIP</t>
  </si>
  <si>
    <t>71114-2559</t>
  </si>
  <si>
    <t>Provedení izolace proti zemní vlhkosti pásy přitavením svislé NAIP</t>
  </si>
  <si>
    <t>99871-1101</t>
  </si>
  <si>
    <t>Přesun hmot tonážní pro izolace proti vodě, vlhkosti a plynům v objektech v do 6 m</t>
  </si>
  <si>
    <t>93199-2121</t>
  </si>
  <si>
    <t>Výplň dilatačních spár z extrudovaného polystyrénu tl 20 mm</t>
  </si>
  <si>
    <t>33495-1113</t>
  </si>
  <si>
    <t>Podpěrné skruže dočasné ze dřeva z hranolů - zřízení</t>
  </si>
  <si>
    <t>33495-2113</t>
  </si>
  <si>
    <t>Podpěrné skruže dočasné ze dřeva z hranolů - odstranění</t>
  </si>
  <si>
    <t>96102-1112</t>
  </si>
  <si>
    <t>Bourání mostních základů z kamene</t>
  </si>
  <si>
    <t>96202-1112</t>
  </si>
  <si>
    <t>Bourání mostních zdí a pilířů z kamene</t>
  </si>
  <si>
    <t>96305-1111</t>
  </si>
  <si>
    <t>Bourání mostní nosné konstrukce z ŽB</t>
  </si>
  <si>
    <t>99721-1511</t>
  </si>
  <si>
    <t>Vodorovná doprava suti po suchu na vzdálenost do 1 km</t>
  </si>
  <si>
    <t>99721-1111</t>
  </si>
  <si>
    <t>Svislá doprava suti na v 3,5 m</t>
  </si>
  <si>
    <t>99721-1519</t>
  </si>
  <si>
    <t>Příplatek ZKD 1 km u vodorovné dopravy suti</t>
  </si>
  <si>
    <t>99721-1611</t>
  </si>
  <si>
    <t>Nakládání suti na dopravní prostředky pro vodorovnou dopravu</t>
  </si>
  <si>
    <t>46997-3111</t>
  </si>
  <si>
    <t>Poplatek za uložení na skládce (skládkovné) stavebního odpadu betonového kód odpadu 17 01 01</t>
  </si>
  <si>
    <t>99821-2112</t>
  </si>
  <si>
    <t>Přesun hmot pro mosty zděné, monolitické betonové nebo ocelové v přes 20 do 45 m</t>
  </si>
  <si>
    <r>
      <t xml:space="preserve">Poplatek za </t>
    </r>
    <r>
      <rPr>
        <b/>
        <sz val="10"/>
        <rFont val="Arial Narrow"/>
        <family val="2"/>
      </rPr>
      <t>uložení</t>
    </r>
    <r>
      <rPr>
        <sz val="10"/>
        <rFont val="Arial Narrow"/>
        <family val="2"/>
      </rPr>
      <t xml:space="preserve"> na </t>
    </r>
    <r>
      <rPr>
        <b/>
        <sz val="10"/>
        <rFont val="Arial Narrow"/>
        <family val="2"/>
      </rPr>
      <t>skládce</t>
    </r>
    <r>
      <rPr>
        <sz val="10"/>
        <rFont val="Arial Narrow"/>
        <family val="2"/>
      </rPr>
      <t xml:space="preserve"> (skládkovné) zeminy a kamení kód odpadu 17 05 04</t>
    </r>
  </si>
  <si>
    <t>Dopravně inženýrské opatření včetně projektu a projednání</t>
  </si>
  <si>
    <t>93511-2111</t>
  </si>
  <si>
    <t>Osazení příkopového žlabu do betonu tl 100 mm z betonových tvárnic š 500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</si>
</sst>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5]mmmm\ yy;@"/>
    <numFmt numFmtId="165" formatCode="#,##0.000"/>
    <numFmt numFmtId="166" formatCode="#,##0.00000"/>
    <numFmt numFmtId="167" formatCode="#,##0.0"/>
    <numFmt numFmtId="168" formatCode="0.000"/>
    <numFmt numFmtId="169" formatCode="0.00000"/>
  </numFmts>
  <fonts count="22">
    <font>
      <sz val="10"/>
      <color theme="1"/>
      <name val="Arial Narrow"/>
      <family val="2"/>
    </font>
    <font>
      <sz val="10"/>
      <name val="Arial"/>
      <family val="2"/>
    </font>
    <font>
      <sz val="10"/>
      <color theme="0"/>
      <name val="Arial Narrow"/>
      <family val="2"/>
    </font>
    <font>
      <sz val="10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i/>
      <sz val="10"/>
      <color rgb="FF0070C0"/>
      <name val="Arial Narrow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name val="MS Sans Serif"/>
      <family val="2"/>
    </font>
    <font>
      <sz val="10"/>
      <color theme="0" tint="-0.3499799966812134"/>
      <name val="Arial CE"/>
      <family val="2"/>
    </font>
    <font>
      <sz val="10"/>
      <color theme="0" tint="-0.3499799966812134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 CE"/>
      <family val="2"/>
    </font>
    <font>
      <sz val="10"/>
      <color rgb="FF0070C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799847602844"/>
        <bgColor indexed="64"/>
      </patternFill>
    </fill>
  </fills>
  <borders count="25">
    <border>
      <left/>
      <right/>
      <top/>
      <bottom/>
      <diagonal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5" fillId="0" borderId="0">
      <alignment/>
      <protection locked="0"/>
    </xf>
  </cellStyleXfs>
  <cellXfs count="255">
    <xf numFmtId="0" fontId="0" fillId="0" borderId="0" xfId="0"/>
    <xf numFmtId="0" fontId="3" fillId="0" borderId="0" xfId="20">
      <alignment/>
      <protection/>
    </xf>
    <xf numFmtId="0" fontId="1" fillId="0" borderId="0" xfId="20" applyFont="1">
      <alignment/>
      <protection/>
    </xf>
    <xf numFmtId="0" fontId="5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6" fillId="0" borderId="0" xfId="20" applyFont="1" applyAlignment="1">
      <alignment horizontal="right"/>
      <protection/>
    </xf>
    <xf numFmtId="0" fontId="7" fillId="0" borderId="1" xfId="20" applyFont="1" applyBorder="1">
      <alignment/>
      <protection/>
    </xf>
    <xf numFmtId="0" fontId="1" fillId="0" borderId="1" xfId="20" applyFont="1" applyBorder="1">
      <alignment/>
      <protection/>
    </xf>
    <xf numFmtId="0" fontId="8" fillId="0" borderId="2" xfId="20" applyFont="1" applyBorder="1" applyAlignment="1">
      <alignment horizontal="right"/>
      <protection/>
    </xf>
    <xf numFmtId="164" fontId="1" fillId="0" borderId="1" xfId="20" applyNumberFormat="1" applyFont="1" applyBorder="1" applyAlignment="1">
      <alignment horizontal="left"/>
      <protection/>
    </xf>
    <xf numFmtId="0" fontId="1" fillId="0" borderId="3" xfId="20" applyFont="1" applyBorder="1">
      <alignment/>
      <protection/>
    </xf>
    <xf numFmtId="0" fontId="7" fillId="0" borderId="4" xfId="20" applyFont="1" applyBorder="1">
      <alignment/>
      <protection/>
    </xf>
    <xf numFmtId="0" fontId="1" fillId="0" borderId="4" xfId="20" applyFont="1" applyBorder="1">
      <alignment/>
      <protection/>
    </xf>
    <xf numFmtId="49" fontId="1" fillId="0" borderId="0" xfId="20" applyNumberFormat="1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7" fillId="0" borderId="0" xfId="20" applyFont="1" applyBorder="1">
      <alignment/>
      <protection/>
    </xf>
    <xf numFmtId="0" fontId="1" fillId="0" borderId="0" xfId="20" applyFont="1" applyBorder="1" applyAlignment="1">
      <alignment/>
      <protection/>
    </xf>
    <xf numFmtId="4" fontId="9" fillId="0" borderId="0" xfId="20" applyNumberFormat="1" applyFont="1" applyBorder="1" applyAlignment="1">
      <alignment horizontal="center"/>
      <protection/>
    </xf>
    <xf numFmtId="0" fontId="9" fillId="0" borderId="0" xfId="20" applyFont="1" applyBorder="1" applyAlignment="1">
      <alignment horizontal="center"/>
      <protection/>
    </xf>
    <xf numFmtId="0" fontId="3" fillId="0" borderId="0" xfId="20" applyAlignment="1">
      <alignment/>
      <protection/>
    </xf>
    <xf numFmtId="0" fontId="8" fillId="0" borderId="0" xfId="20" applyFont="1">
      <alignment/>
      <protection/>
    </xf>
    <xf numFmtId="0" fontId="1" fillId="0" borderId="0" xfId="20" applyFont="1" applyAlignment="1">
      <alignment/>
      <protection/>
    </xf>
    <xf numFmtId="0" fontId="1" fillId="0" borderId="0" xfId="20" applyFont="1" applyAlignment="1">
      <alignment horizontal="right"/>
      <protection/>
    </xf>
    <xf numFmtId="49" fontId="8" fillId="2" borderId="5" xfId="20" applyNumberFormat="1" applyFont="1" applyFill="1" applyBorder="1">
      <alignment/>
      <protection/>
    </xf>
    <xf numFmtId="0" fontId="8" fillId="2" borderId="6" xfId="20" applyFont="1" applyFill="1" applyBorder="1" applyAlignment="1">
      <alignment horizontal="center"/>
      <protection/>
    </xf>
    <xf numFmtId="0" fontId="8" fillId="2" borderId="6" xfId="20" applyNumberFormat="1" applyFont="1" applyFill="1" applyBorder="1" applyAlignment="1">
      <alignment horizontal="center"/>
      <protection/>
    </xf>
    <xf numFmtId="0" fontId="8" fillId="2" borderId="5" xfId="20" applyFont="1" applyFill="1" applyBorder="1" applyAlignment="1">
      <alignment horizontal="center"/>
      <protection/>
    </xf>
    <xf numFmtId="0" fontId="0" fillId="3" borderId="5" xfId="21" applyFont="1" applyFill="1" applyBorder="1" applyAlignment="1">
      <alignment horizontal="center" wrapText="1"/>
      <protection/>
    </xf>
    <xf numFmtId="0" fontId="11" fillId="0" borderId="7" xfId="20" applyFont="1" applyBorder="1" applyAlignment="1">
      <alignment horizontal="center"/>
      <protection/>
    </xf>
    <xf numFmtId="0" fontId="11" fillId="0" borderId="7" xfId="20" applyNumberFormat="1" applyFont="1" applyBorder="1" applyAlignment="1">
      <alignment horizontal="right"/>
      <protection/>
    </xf>
    <xf numFmtId="0" fontId="11" fillId="0" borderId="5" xfId="20" applyFont="1" applyBorder="1" applyAlignment="1">
      <alignment horizontal="center"/>
      <protection/>
    </xf>
    <xf numFmtId="49" fontId="11" fillId="0" borderId="8" xfId="20" applyNumberFormat="1" applyFont="1" applyBorder="1" applyAlignment="1">
      <alignment horizontal="left"/>
      <protection/>
    </xf>
    <xf numFmtId="0" fontId="11" fillId="0" borderId="9" xfId="20" applyFont="1" applyBorder="1" applyAlignment="1">
      <alignment wrapText="1"/>
      <protection/>
    </xf>
    <xf numFmtId="49" fontId="11" fillId="0" borderId="9" xfId="20" applyNumberFormat="1" applyFont="1" applyBorder="1" applyAlignment="1">
      <alignment horizontal="center" shrinkToFit="1"/>
      <protection/>
    </xf>
    <xf numFmtId="4" fontId="11" fillId="0" borderId="9" xfId="20" applyNumberFormat="1" applyFont="1" applyFill="1" applyBorder="1" applyAlignment="1">
      <alignment horizontal="right"/>
      <protection/>
    </xf>
    <xf numFmtId="4" fontId="11" fillId="0" borderId="9" xfId="20" applyNumberFormat="1" applyFont="1" applyBorder="1" applyAlignment="1">
      <alignment horizontal="right"/>
      <protection/>
    </xf>
    <xf numFmtId="4" fontId="11" fillId="0" borderId="9" xfId="20" applyNumberFormat="1" applyFont="1" applyBorder="1" applyAlignment="1">
      <alignment/>
      <protection/>
    </xf>
    <xf numFmtId="0" fontId="11" fillId="0" borderId="5" xfId="20" applyFont="1" applyBorder="1" applyAlignment="1">
      <alignment/>
      <protection/>
    </xf>
    <xf numFmtId="0" fontId="2" fillId="0" borderId="5" xfId="20" applyFont="1" applyBorder="1" applyAlignment="1">
      <alignment/>
      <protection/>
    </xf>
    <xf numFmtId="0" fontId="11" fillId="0" borderId="5" xfId="20" applyFont="1" applyBorder="1" applyAlignment="1">
      <alignment wrapText="1"/>
      <protection/>
    </xf>
    <xf numFmtId="49" fontId="11" fillId="0" borderId="5" xfId="20" applyNumberFormat="1" applyFont="1" applyBorder="1" applyAlignment="1">
      <alignment horizontal="center" shrinkToFit="1"/>
      <protection/>
    </xf>
    <xf numFmtId="4" fontId="11" fillId="0" borderId="5" xfId="20" applyNumberFormat="1" applyFont="1" applyFill="1" applyBorder="1" applyAlignment="1">
      <alignment horizontal="right"/>
      <protection/>
    </xf>
    <xf numFmtId="4" fontId="11" fillId="0" borderId="5" xfId="20" applyNumberFormat="1" applyFont="1" applyBorder="1" applyAlignment="1">
      <alignment horizontal="right"/>
      <protection/>
    </xf>
    <xf numFmtId="4" fontId="11" fillId="0" borderId="5" xfId="20" applyNumberFormat="1" applyFont="1" applyBorder="1" applyAlignment="1">
      <alignment/>
      <protection/>
    </xf>
    <xf numFmtId="49" fontId="11" fillId="0" borderId="10" xfId="20" applyNumberFormat="1" applyFont="1" applyBorder="1" applyAlignment="1">
      <alignment horizontal="left"/>
      <protection/>
    </xf>
    <xf numFmtId="165" fontId="11" fillId="0" borderId="5" xfId="20" applyNumberFormat="1" applyFont="1" applyBorder="1">
      <alignment/>
      <protection/>
    </xf>
    <xf numFmtId="166" fontId="11" fillId="0" borderId="5" xfId="20" applyNumberFormat="1" applyFont="1" applyBorder="1">
      <alignment/>
      <protection/>
    </xf>
    <xf numFmtId="4" fontId="11" fillId="0" borderId="5" xfId="20" applyNumberFormat="1" applyFont="1" applyBorder="1">
      <alignment/>
      <protection/>
    </xf>
    <xf numFmtId="166" fontId="11" fillId="0" borderId="5" xfId="20" applyNumberFormat="1" applyFont="1" applyBorder="1" applyAlignment="1">
      <alignment/>
      <protection/>
    </xf>
    <xf numFmtId="4" fontId="11" fillId="0" borderId="0" xfId="22" applyNumberFormat="1" applyFont="1" applyBorder="1" applyAlignment="1" applyProtection="1">
      <alignment horizontal="right"/>
      <protection locked="0"/>
    </xf>
    <xf numFmtId="0" fontId="11" fillId="0" borderId="11" xfId="22" applyFont="1" applyBorder="1" applyAlignment="1" applyProtection="1">
      <alignment horizontal="center" wrapText="1"/>
      <protection locked="0"/>
    </xf>
    <xf numFmtId="4" fontId="11" fillId="0" borderId="11" xfId="22" applyNumberFormat="1" applyFont="1" applyBorder="1" applyAlignment="1" applyProtection="1">
      <alignment horizontal="right"/>
      <protection locked="0"/>
    </xf>
    <xf numFmtId="4" fontId="9" fillId="0" borderId="11" xfId="20" applyNumberFormat="1" applyFont="1" applyBorder="1" applyAlignment="1">
      <alignment/>
      <protection/>
    </xf>
    <xf numFmtId="0" fontId="11" fillId="0" borderId="5" xfId="22" applyFont="1" applyBorder="1" applyAlignment="1" applyProtection="1">
      <alignment horizontal="center" wrapText="1"/>
      <protection locked="0"/>
    </xf>
    <xf numFmtId="165" fontId="11" fillId="0" borderId="5" xfId="22" applyNumberFormat="1" applyFont="1" applyBorder="1" applyAlignment="1" applyProtection="1">
      <alignment horizontal="right"/>
      <protection locked="0"/>
    </xf>
    <xf numFmtId="4" fontId="11" fillId="0" borderId="5" xfId="22" applyNumberFormat="1" applyFont="1" applyBorder="1" applyAlignment="1" applyProtection="1">
      <alignment horizontal="right"/>
      <protection locked="0"/>
    </xf>
    <xf numFmtId="0" fontId="11" fillId="0" borderId="10" xfId="22" applyFont="1" applyBorder="1" applyAlignment="1" applyProtection="1">
      <alignment horizontal="center" wrapText="1"/>
      <protection locked="0"/>
    </xf>
    <xf numFmtId="4" fontId="11" fillId="0" borderId="10" xfId="22" applyNumberFormat="1" applyFont="1" applyBorder="1" applyAlignment="1" applyProtection="1">
      <alignment horizontal="right"/>
      <protection locked="0"/>
    </xf>
    <xf numFmtId="4" fontId="11" fillId="0" borderId="10" xfId="20" applyNumberFormat="1" applyFont="1" applyBorder="1" applyAlignment="1">
      <alignment/>
      <protection/>
    </xf>
    <xf numFmtId="0" fontId="11" fillId="0" borderId="11" xfId="20" applyFont="1" applyBorder="1">
      <alignment/>
      <protection/>
    </xf>
    <xf numFmtId="4" fontId="11" fillId="0" borderId="11" xfId="20" applyNumberFormat="1" applyFont="1" applyBorder="1">
      <alignment/>
      <protection/>
    </xf>
    <xf numFmtId="4" fontId="9" fillId="0" borderId="11" xfId="22" applyNumberFormat="1" applyFont="1" applyBorder="1" applyAlignment="1" applyProtection="1">
      <alignment horizontal="right" vertical="center" wrapText="1"/>
      <protection/>
    </xf>
    <xf numFmtId="0" fontId="11" fillId="0" borderId="0" xfId="20" applyFont="1" applyBorder="1" applyAlignment="1">
      <alignment horizontal="center"/>
      <protection/>
    </xf>
    <xf numFmtId="4" fontId="11" fillId="0" borderId="10" xfId="20" applyNumberFormat="1" applyFont="1" applyBorder="1">
      <alignment/>
      <protection/>
    </xf>
    <xf numFmtId="0" fontId="11" fillId="0" borderId="0" xfId="20" applyFont="1">
      <alignment/>
      <protection/>
    </xf>
    <xf numFmtId="167" fontId="11" fillId="0" borderId="0" xfId="20" applyNumberFormat="1" applyFont="1">
      <alignment/>
      <protection/>
    </xf>
    <xf numFmtId="0" fontId="11" fillId="0" borderId="0" xfId="20" applyFont="1" applyAlignment="1">
      <alignment horizontal="right"/>
      <protection/>
    </xf>
    <xf numFmtId="4" fontId="9" fillId="0" borderId="0" xfId="20" applyNumberFormat="1" applyFont="1">
      <alignment/>
      <protection/>
    </xf>
    <xf numFmtId="4" fontId="11" fillId="0" borderId="0" xfId="20" applyNumberFormat="1" applyFont="1">
      <alignment/>
      <protection/>
    </xf>
    <xf numFmtId="0" fontId="9" fillId="0" borderId="0" xfId="20" applyFont="1" applyAlignment="1">
      <alignment horizontal="right"/>
      <protection/>
    </xf>
    <xf numFmtId="0" fontId="13" fillId="0" borderId="0" xfId="20" applyFont="1" applyAlignment="1">
      <alignment/>
      <protection/>
    </xf>
    <xf numFmtId="0" fontId="3" fillId="0" borderId="0" xfId="20" applyAlignment="1">
      <alignment horizontal="right"/>
      <protection/>
    </xf>
    <xf numFmtId="0" fontId="3" fillId="0" borderId="0" xfId="20" applyBorder="1">
      <alignment/>
      <protection/>
    </xf>
    <xf numFmtId="0" fontId="14" fillId="0" borderId="0" xfId="20" applyFont="1" applyBorder="1">
      <alignment/>
      <protection/>
    </xf>
    <xf numFmtId="3" fontId="14" fillId="0" borderId="0" xfId="20" applyNumberFormat="1" applyFont="1" applyBorder="1" applyAlignment="1">
      <alignment horizontal="right"/>
      <protection/>
    </xf>
    <xf numFmtId="0" fontId="13" fillId="0" borderId="0" xfId="20" applyFont="1" applyBorder="1" applyAlignment="1">
      <alignment/>
      <protection/>
    </xf>
    <xf numFmtId="0" fontId="3" fillId="0" borderId="0" xfId="20" applyBorder="1" applyAlignment="1">
      <alignment horizontal="right"/>
      <protection/>
    </xf>
    <xf numFmtId="4" fontId="14" fillId="0" borderId="0" xfId="20" applyNumberFormat="1" applyFont="1" applyBorder="1">
      <alignment/>
      <protection/>
    </xf>
    <xf numFmtId="0" fontId="3" fillId="0" borderId="0" xfId="20" applyFill="1" applyAlignment="1">
      <alignment/>
      <protection/>
    </xf>
    <xf numFmtId="0" fontId="11" fillId="0" borderId="12" xfId="20" applyFont="1" applyBorder="1" applyAlignment="1">
      <alignment horizontal="center"/>
      <protection/>
    </xf>
    <xf numFmtId="49" fontId="11" fillId="0" borderId="10" xfId="20" applyNumberFormat="1" applyFont="1" applyFill="1" applyBorder="1" applyAlignment="1">
      <alignment horizontal="left"/>
      <protection/>
    </xf>
    <xf numFmtId="49" fontId="9" fillId="0" borderId="11" xfId="20" applyNumberFormat="1" applyFont="1" applyFill="1" applyBorder="1" applyAlignment="1">
      <alignment horizontal="left"/>
      <protection/>
    </xf>
    <xf numFmtId="0" fontId="9" fillId="0" borderId="11" xfId="20" applyFont="1" applyFill="1" applyBorder="1">
      <alignment/>
      <protection/>
    </xf>
    <xf numFmtId="0" fontId="9" fillId="0" borderId="11" xfId="22" applyFont="1" applyFill="1" applyBorder="1" applyAlignment="1" applyProtection="1">
      <alignment horizontal="left" wrapText="1"/>
      <protection locked="0"/>
    </xf>
    <xf numFmtId="165" fontId="11" fillId="0" borderId="10" xfId="22" applyNumberFormat="1" applyFont="1" applyFill="1" applyBorder="1" applyAlignment="1" applyProtection="1">
      <alignment horizontal="right"/>
      <protection locked="0"/>
    </xf>
    <xf numFmtId="165" fontId="11" fillId="0" borderId="11" xfId="20" applyNumberFormat="1" applyFont="1" applyFill="1" applyBorder="1">
      <alignment/>
      <protection/>
    </xf>
    <xf numFmtId="0" fontId="3" fillId="0" borderId="0" xfId="20" applyFont="1" applyAlignment="1">
      <alignment/>
      <protection/>
    </xf>
    <xf numFmtId="0" fontId="9" fillId="0" borderId="13" xfId="20" applyFont="1" applyBorder="1" applyAlignment="1">
      <alignment horizontal="center"/>
      <protection/>
    </xf>
    <xf numFmtId="49" fontId="9" fillId="0" borderId="7" xfId="20" applyNumberFormat="1" applyFont="1" applyBorder="1" applyAlignment="1">
      <alignment horizontal="left"/>
      <protection/>
    </xf>
    <xf numFmtId="0" fontId="9" fillId="0" borderId="7" xfId="20" applyFont="1" applyBorder="1">
      <alignment/>
      <protection/>
    </xf>
    <xf numFmtId="4" fontId="9" fillId="0" borderId="7" xfId="20" applyNumberFormat="1" applyFont="1" applyBorder="1" applyAlignment="1">
      <alignment/>
      <protection/>
    </xf>
    <xf numFmtId="0" fontId="11" fillId="0" borderId="7" xfId="20" applyNumberFormat="1" applyFont="1" applyBorder="1">
      <alignment/>
      <protection/>
    </xf>
    <xf numFmtId="0" fontId="11" fillId="0" borderId="6" xfId="20" applyFont="1" applyBorder="1">
      <alignment/>
      <protection/>
    </xf>
    <xf numFmtId="0" fontId="11" fillId="0" borderId="14" xfId="20" applyFont="1" applyBorder="1" applyAlignment="1">
      <alignment horizontal="center"/>
      <protection/>
    </xf>
    <xf numFmtId="0" fontId="11" fillId="0" borderId="10" xfId="20" applyFont="1" applyBorder="1" applyAlignment="1">
      <alignment wrapText="1"/>
      <protection/>
    </xf>
    <xf numFmtId="49" fontId="11" fillId="0" borderId="10" xfId="20" applyNumberFormat="1" applyFont="1" applyBorder="1" applyAlignment="1">
      <alignment horizontal="center" shrinkToFit="1"/>
      <protection/>
    </xf>
    <xf numFmtId="4" fontId="11" fillId="0" borderId="10" xfId="20" applyNumberFormat="1" applyFont="1" applyFill="1" applyBorder="1" applyAlignment="1">
      <alignment horizontal="right"/>
      <protection/>
    </xf>
    <xf numFmtId="4" fontId="11" fillId="0" borderId="10" xfId="20" applyNumberFormat="1" applyFont="1" applyBorder="1" applyAlignment="1">
      <alignment horizontal="right"/>
      <protection/>
    </xf>
    <xf numFmtId="0" fontId="11" fillId="0" borderId="10" xfId="20" applyFont="1" applyBorder="1" applyAlignment="1">
      <alignment/>
      <protection/>
    </xf>
    <xf numFmtId="0" fontId="11" fillId="0" borderId="8" xfId="20" applyFont="1" applyBorder="1" applyAlignment="1">
      <alignment/>
      <protection/>
    </xf>
    <xf numFmtId="49" fontId="9" fillId="0" borderId="11" xfId="20" applyNumberFormat="1" applyFont="1" applyBorder="1" applyAlignment="1">
      <alignment horizontal="left"/>
      <protection/>
    </xf>
    <xf numFmtId="0" fontId="9" fillId="0" borderId="11" xfId="20" applyFont="1" applyBorder="1" applyAlignment="1">
      <alignment wrapText="1"/>
      <protection/>
    </xf>
    <xf numFmtId="0" fontId="11" fillId="0" borderId="11" xfId="20" applyFont="1" applyBorder="1" applyAlignment="1">
      <alignment horizontal="center"/>
      <protection/>
    </xf>
    <xf numFmtId="165" fontId="11" fillId="0" borderId="11" xfId="20" applyNumberFormat="1" applyFont="1" applyBorder="1">
      <alignment/>
      <protection/>
    </xf>
    <xf numFmtId="166" fontId="11" fillId="0" borderId="11" xfId="20" applyNumberFormat="1" applyFont="1" applyBorder="1">
      <alignment/>
      <protection/>
    </xf>
    <xf numFmtId="166" fontId="11" fillId="0" borderId="15" xfId="20" applyNumberFormat="1" applyFont="1" applyBorder="1">
      <alignment/>
      <protection/>
    </xf>
    <xf numFmtId="0" fontId="11" fillId="0" borderId="10" xfId="22" applyFont="1" applyFill="1" applyBorder="1" applyAlignment="1" applyProtection="1">
      <alignment horizontal="left" wrapText="1"/>
      <protection locked="0"/>
    </xf>
    <xf numFmtId="0" fontId="11" fillId="0" borderId="11" xfId="20" applyFont="1" applyBorder="1" applyAlignment="1">
      <alignment/>
      <protection/>
    </xf>
    <xf numFmtId="166" fontId="11" fillId="0" borderId="15" xfId="20" applyNumberFormat="1" applyFont="1" applyBorder="1" applyAlignment="1">
      <alignment/>
      <protection/>
    </xf>
    <xf numFmtId="166" fontId="11" fillId="0" borderId="10" xfId="20" applyNumberFormat="1" applyFont="1" applyBorder="1" applyAlignment="1">
      <alignment/>
      <protection/>
    </xf>
    <xf numFmtId="0" fontId="3" fillId="0" borderId="8" xfId="20" applyBorder="1" applyAlignment="1">
      <alignment/>
      <protection/>
    </xf>
    <xf numFmtId="166" fontId="11" fillId="0" borderId="15" xfId="20" applyNumberFormat="1" applyFont="1" applyFill="1" applyBorder="1" applyAlignment="1">
      <alignment/>
      <protection/>
    </xf>
    <xf numFmtId="0" fontId="11" fillId="0" borderId="14" xfId="20" applyFont="1" applyFill="1" applyBorder="1" applyAlignment="1">
      <alignment horizontal="center"/>
      <protection/>
    </xf>
    <xf numFmtId="0" fontId="11" fillId="0" borderId="10" xfId="20" applyFont="1" applyFill="1" applyBorder="1">
      <alignment/>
      <protection/>
    </xf>
    <xf numFmtId="0" fontId="11" fillId="0" borderId="10" xfId="20" applyFont="1" applyFill="1" applyBorder="1" applyAlignment="1">
      <alignment horizontal="center"/>
      <protection/>
    </xf>
    <xf numFmtId="165" fontId="11" fillId="0" borderId="10" xfId="20" applyNumberFormat="1" applyFont="1" applyFill="1" applyBorder="1">
      <alignment/>
      <protection/>
    </xf>
    <xf numFmtId="4" fontId="11" fillId="0" borderId="10" xfId="20" applyNumberFormat="1" applyFont="1" applyFill="1" applyBorder="1">
      <alignment/>
      <protection/>
    </xf>
    <xf numFmtId="4" fontId="11" fillId="0" borderId="10" xfId="20" applyNumberFormat="1" applyFont="1" applyFill="1" applyBorder="1" applyAlignment="1">
      <alignment/>
      <protection/>
    </xf>
    <xf numFmtId="166" fontId="11" fillId="0" borderId="10" xfId="20" applyNumberFormat="1" applyFont="1" applyFill="1" applyBorder="1">
      <alignment/>
      <protection/>
    </xf>
    <xf numFmtId="4" fontId="9" fillId="0" borderId="11" xfId="20" applyNumberFormat="1" applyFont="1" applyBorder="1">
      <alignment/>
      <protection/>
    </xf>
    <xf numFmtId="4" fontId="11" fillId="0" borderId="10" xfId="22" applyNumberFormat="1" applyFont="1" applyFill="1" applyBorder="1" applyAlignment="1" applyProtection="1">
      <alignment horizontal="right"/>
      <protection locked="0"/>
    </xf>
    <xf numFmtId="166" fontId="11" fillId="0" borderId="10" xfId="20" applyNumberFormat="1" applyFont="1" applyBorder="1">
      <alignment/>
      <protection/>
    </xf>
    <xf numFmtId="165" fontId="11" fillId="0" borderId="11" xfId="22" applyNumberFormat="1" applyFont="1" applyFill="1" applyBorder="1" applyAlignment="1" applyProtection="1">
      <alignment horizontal="right"/>
      <protection locked="0"/>
    </xf>
    <xf numFmtId="166" fontId="11" fillId="0" borderId="11" xfId="20" applyNumberFormat="1" applyFont="1" applyBorder="1" applyAlignment="1">
      <alignment/>
      <protection/>
    </xf>
    <xf numFmtId="166" fontId="11" fillId="0" borderId="8" xfId="20" applyNumberFormat="1" applyFont="1" applyBorder="1" applyAlignment="1">
      <alignment/>
      <protection/>
    </xf>
    <xf numFmtId="0" fontId="9" fillId="0" borderId="11" xfId="20" applyFont="1" applyFill="1" applyBorder="1" applyAlignment="1">
      <alignment wrapText="1"/>
      <protection/>
    </xf>
    <xf numFmtId="165" fontId="11" fillId="0" borderId="11" xfId="22" applyNumberFormat="1" applyFont="1" applyBorder="1" applyAlignment="1" applyProtection="1">
      <alignment horizontal="right"/>
      <protection locked="0"/>
    </xf>
    <xf numFmtId="0" fontId="16" fillId="0" borderId="0" xfId="20" applyFont="1" applyAlignment="1">
      <alignment/>
      <protection/>
    </xf>
    <xf numFmtId="0" fontId="17" fillId="0" borderId="0" xfId="20" applyFont="1" applyAlignment="1">
      <alignment/>
      <protection/>
    </xf>
    <xf numFmtId="0" fontId="17" fillId="0" borderId="0" xfId="20" applyFont="1" applyAlignment="1">
      <alignment horizontal="left"/>
      <protection/>
    </xf>
    <xf numFmtId="0" fontId="17" fillId="0" borderId="0" xfId="20" applyFont="1" applyFill="1" applyAlignment="1">
      <alignment/>
      <protection/>
    </xf>
    <xf numFmtId="0" fontId="16" fillId="0" borderId="0" xfId="20" applyFont="1" applyFill="1" applyAlignment="1">
      <alignment/>
      <protection/>
    </xf>
    <xf numFmtId="0" fontId="17" fillId="0" borderId="0" xfId="20" applyFont="1">
      <alignment/>
      <protection/>
    </xf>
    <xf numFmtId="167" fontId="17" fillId="0" borderId="0" xfId="20" applyNumberFormat="1" applyFont="1">
      <alignment/>
      <protection/>
    </xf>
    <xf numFmtId="0" fontId="16" fillId="0" borderId="0" xfId="20" applyFont="1">
      <alignment/>
      <protection/>
    </xf>
    <xf numFmtId="0" fontId="11" fillId="0" borderId="0" xfId="0" applyFont="1"/>
    <xf numFmtId="0" fontId="11" fillId="0" borderId="0" xfId="20" applyFont="1" applyFill="1" applyAlignment="1">
      <alignment/>
      <protection/>
    </xf>
    <xf numFmtId="0" fontId="11" fillId="0" borderId="5" xfId="0" applyFont="1" applyBorder="1"/>
    <xf numFmtId="0" fontId="11" fillId="0" borderId="0" xfId="20" applyFont="1" applyAlignment="1">
      <alignment horizontal="left"/>
      <protection/>
    </xf>
    <xf numFmtId="0" fontId="11" fillId="0" borderId="0" xfId="20" applyFont="1" applyAlignment="1">
      <alignment/>
      <protection/>
    </xf>
    <xf numFmtId="0" fontId="12" fillId="0" borderId="5" xfId="0" applyFont="1" applyBorder="1"/>
    <xf numFmtId="4" fontId="11" fillId="0" borderId="5" xfId="0" applyNumberFormat="1" applyFont="1" applyBorder="1"/>
    <xf numFmtId="169" fontId="11" fillId="0" borderId="5" xfId="0" applyNumberFormat="1" applyFont="1" applyBorder="1"/>
    <xf numFmtId="0" fontId="11" fillId="0" borderId="5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1" xfId="0" applyFont="1" applyBorder="1"/>
    <xf numFmtId="0" fontId="11" fillId="0" borderId="16" xfId="20" applyFont="1" applyBorder="1" applyAlignment="1">
      <alignment horizontal="center"/>
      <protection/>
    </xf>
    <xf numFmtId="0" fontId="3" fillId="0" borderId="10" xfId="20" applyBorder="1" applyAlignment="1">
      <alignment/>
      <protection/>
    </xf>
    <xf numFmtId="0" fontId="12" fillId="0" borderId="5" xfId="0" applyFont="1" applyBorder="1" applyAlignment="1">
      <alignment horizontal="right"/>
    </xf>
    <xf numFmtId="0" fontId="12" fillId="0" borderId="10" xfId="0" applyFont="1" applyBorder="1"/>
    <xf numFmtId="0" fontId="11" fillId="0" borderId="10" xfId="0" applyFont="1" applyBorder="1"/>
    <xf numFmtId="0" fontId="3" fillId="0" borderId="0" xfId="20" applyFont="1">
      <alignment/>
      <protection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/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/>
    <xf numFmtId="0" fontId="0" fillId="0" borderId="10" xfId="0" applyFont="1" applyBorder="1"/>
    <xf numFmtId="4" fontId="9" fillId="0" borderId="11" xfId="22" applyNumberFormat="1" applyFont="1" applyBorder="1" applyAlignment="1" applyProtection="1">
      <alignment horizontal="right"/>
      <protection locked="0"/>
    </xf>
    <xf numFmtId="168" fontId="11" fillId="0" borderId="10" xfId="20" applyNumberFormat="1" applyFont="1" applyFill="1" applyBorder="1" applyAlignment="1">
      <alignment horizontal="right"/>
      <protection/>
    </xf>
    <xf numFmtId="168" fontId="11" fillId="0" borderId="11" xfId="20" applyNumberFormat="1" applyFont="1" applyFill="1" applyBorder="1" applyAlignment="1">
      <alignment horizontal="right"/>
      <protection/>
    </xf>
    <xf numFmtId="166" fontId="11" fillId="0" borderId="0" xfId="20" applyNumberFormat="1" applyFont="1" applyBorder="1" applyAlignment="1">
      <alignment/>
      <protection/>
    </xf>
    <xf numFmtId="0" fontId="11" fillId="0" borderId="0" xfId="22" applyFont="1" applyFill="1" applyBorder="1" applyAlignment="1" applyProtection="1">
      <alignment horizontal="left" wrapText="1"/>
      <protection locked="0"/>
    </xf>
    <xf numFmtId="0" fontId="11" fillId="0" borderId="0" xfId="22" applyFont="1" applyBorder="1" applyAlignment="1" applyProtection="1">
      <alignment horizontal="center" wrapText="1"/>
      <protection locked="0"/>
    </xf>
    <xf numFmtId="165" fontId="11" fillId="0" borderId="0" xfId="22" applyNumberFormat="1" applyFont="1" applyFill="1" applyBorder="1" applyAlignment="1" applyProtection="1">
      <alignment horizontal="right"/>
      <protection locked="0"/>
    </xf>
    <xf numFmtId="166" fontId="11" fillId="0" borderId="0" xfId="20" applyNumberFormat="1" applyFont="1" applyAlignment="1">
      <alignment/>
      <protection/>
    </xf>
    <xf numFmtId="4" fontId="9" fillId="0" borderId="0" xfId="20" applyNumberFormat="1" applyFont="1" applyAlignment="1">
      <alignment/>
      <protection/>
    </xf>
    <xf numFmtId="0" fontId="9" fillId="0" borderId="11" xfId="0" applyFont="1" applyBorder="1"/>
    <xf numFmtId="49" fontId="11" fillId="0" borderId="0" xfId="20" applyNumberFormat="1" applyFont="1" applyFill="1" applyBorder="1" applyAlignment="1">
      <alignment horizontal="left"/>
      <protection/>
    </xf>
    <xf numFmtId="0" fontId="0" fillId="0" borderId="11" xfId="0" applyBorder="1"/>
    <xf numFmtId="169" fontId="0" fillId="0" borderId="11" xfId="0" applyNumberFormat="1" applyFont="1" applyBorder="1"/>
    <xf numFmtId="168" fontId="11" fillId="0" borderId="10" xfId="20" applyNumberFormat="1" applyFont="1" applyFill="1" applyBorder="1" applyAlignment="1">
      <alignment/>
      <protection/>
    </xf>
    <xf numFmtId="168" fontId="11" fillId="0" borderId="11" xfId="20" applyNumberFormat="1" applyFont="1" applyFill="1" applyBorder="1" applyAlignment="1">
      <alignment/>
      <protection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8" fontId="11" fillId="4" borderId="16" xfId="20" applyNumberFormat="1" applyFont="1" applyFill="1" applyBorder="1" applyAlignment="1">
      <alignment horizontal="left"/>
      <protection/>
    </xf>
    <xf numFmtId="0" fontId="19" fillId="0" borderId="5" xfId="20" applyFont="1" applyBorder="1" applyAlignment="1">
      <alignment horizontal="center"/>
      <protection/>
    </xf>
    <xf numFmtId="0" fontId="19" fillId="0" borderId="0" xfId="0" applyFont="1"/>
    <xf numFmtId="0" fontId="20" fillId="0" borderId="0" xfId="20" applyFont="1" applyAlignment="1">
      <alignment/>
      <protection/>
    </xf>
    <xf numFmtId="168" fontId="11" fillId="0" borderId="0" xfId="0" applyNumberFormat="1" applyFont="1" applyFill="1"/>
    <xf numFmtId="165" fontId="11" fillId="0" borderId="5" xfId="20" applyNumberFormat="1" applyFont="1" applyFill="1" applyBorder="1">
      <alignment/>
      <protection/>
    </xf>
    <xf numFmtId="165" fontId="11" fillId="0" borderId="5" xfId="20" applyNumberFormat="1" applyFont="1" applyFill="1" applyBorder="1" applyAlignment="1">
      <alignment horizontal="right"/>
      <protection/>
    </xf>
    <xf numFmtId="168" fontId="11" fillId="0" borderId="5" xfId="0" applyNumberFormat="1" applyFont="1" applyFill="1" applyBorder="1"/>
    <xf numFmtId="4" fontId="11" fillId="0" borderId="11" xfId="22" applyNumberFormat="1" applyFont="1" applyFill="1" applyBorder="1" applyAlignment="1" applyProtection="1">
      <alignment horizontal="right"/>
      <protection locked="0"/>
    </xf>
    <xf numFmtId="168" fontId="11" fillId="0" borderId="5" xfId="20" applyNumberFormat="1" applyFont="1" applyFill="1" applyBorder="1" applyAlignment="1">
      <alignment horizontal="right"/>
      <protection/>
    </xf>
    <xf numFmtId="0" fontId="19" fillId="0" borderId="14" xfId="20" applyFont="1" applyBorder="1" applyAlignment="1">
      <alignment horizontal="center"/>
      <protection/>
    </xf>
    <xf numFmtId="0" fontId="19" fillId="0" borderId="0" xfId="0" applyFont="1" applyBorder="1"/>
    <xf numFmtId="0" fontId="19" fillId="0" borderId="13" xfId="20" applyFont="1" applyBorder="1" applyAlignment="1">
      <alignment horizontal="center"/>
      <protection/>
    </xf>
    <xf numFmtId="0" fontId="19" fillId="0" borderId="10" xfId="0" applyFont="1" applyBorder="1"/>
    <xf numFmtId="0" fontId="19" fillId="0" borderId="0" xfId="20" applyFont="1" applyAlignment="1">
      <alignment/>
      <protection/>
    </xf>
    <xf numFmtId="0" fontId="19" fillId="0" borderId="0" xfId="20" applyFont="1" applyAlignment="1">
      <alignment horizontal="left"/>
      <protection/>
    </xf>
    <xf numFmtId="49" fontId="11" fillId="0" borderId="5" xfId="20" applyNumberFormat="1" applyFont="1" applyBorder="1" applyAlignment="1">
      <alignment horizontal="left"/>
      <protection/>
    </xf>
    <xf numFmtId="0" fontId="11" fillId="0" borderId="5" xfId="22" applyFont="1" applyBorder="1" applyAlignment="1">
      <alignment vertical="center" wrapText="1"/>
      <protection/>
    </xf>
    <xf numFmtId="0" fontId="11" fillId="0" borderId="5" xfId="22" applyFont="1" applyBorder="1" applyAlignment="1" applyProtection="1">
      <alignment horizontal="left" wrapText="1"/>
      <protection locked="0"/>
    </xf>
    <xf numFmtId="49" fontId="11" fillId="0" borderId="5" xfId="20" applyNumberFormat="1" applyFont="1" applyBorder="1" applyAlignment="1">
      <alignment horizontal="left" vertical="top"/>
      <protection/>
    </xf>
    <xf numFmtId="0" fontId="11" fillId="0" borderId="5" xfId="20" applyFont="1" applyBorder="1" applyAlignment="1">
      <alignment vertical="top" wrapText="1"/>
      <protection/>
    </xf>
    <xf numFmtId="168" fontId="11" fillId="0" borderId="5" xfId="20" applyNumberFormat="1" applyFont="1" applyBorder="1" applyAlignment="1">
      <alignment horizontal="right"/>
      <protection/>
    </xf>
    <xf numFmtId="0" fontId="3" fillId="0" borderId="8" xfId="20" applyFont="1" applyFill="1" applyBorder="1" applyAlignment="1">
      <alignment/>
      <protection/>
    </xf>
    <xf numFmtId="0" fontId="3" fillId="0" borderId="0" xfId="20" applyFont="1" applyFill="1" applyAlignment="1">
      <alignment/>
      <protection/>
    </xf>
    <xf numFmtId="0" fontId="3" fillId="0" borderId="0" xfId="20" applyFont="1" applyAlignment="1">
      <alignment/>
      <protection/>
    </xf>
    <xf numFmtId="168" fontId="11" fillId="4" borderId="0" xfId="20" applyNumberFormat="1" applyFont="1" applyFill="1" applyBorder="1" applyAlignment="1">
      <alignment horizontal="left"/>
      <protection/>
    </xf>
    <xf numFmtId="49" fontId="9" fillId="0" borderId="0" xfId="20" applyNumberFormat="1" applyFont="1" applyFill="1" applyBorder="1" applyAlignment="1">
      <alignment horizontal="left"/>
      <protection/>
    </xf>
    <xf numFmtId="0" fontId="9" fillId="0" borderId="0" xfId="22" applyFont="1" applyFill="1" applyBorder="1" applyAlignment="1" applyProtection="1">
      <alignment horizontal="left" wrapText="1"/>
      <protection locked="0"/>
    </xf>
    <xf numFmtId="165" fontId="11" fillId="0" borderId="0" xfId="22" applyNumberFormat="1" applyFont="1" applyBorder="1" applyAlignment="1" applyProtection="1">
      <alignment horizontal="right"/>
      <protection locked="0"/>
    </xf>
    <xf numFmtId="4" fontId="9" fillId="0" borderId="0" xfId="20" applyNumberFormat="1" applyFont="1" applyBorder="1" applyAlignment="1">
      <alignment/>
      <protection/>
    </xf>
    <xf numFmtId="166" fontId="11" fillId="0" borderId="17" xfId="20" applyNumberFormat="1" applyFont="1" applyBorder="1" applyAlignment="1">
      <alignment/>
      <protection/>
    </xf>
    <xf numFmtId="0" fontId="11" fillId="0" borderId="0" xfId="20" applyFont="1" applyBorder="1" applyAlignment="1">
      <alignment/>
      <protection/>
    </xf>
    <xf numFmtId="0" fontId="3" fillId="0" borderId="0" xfId="20" applyFont="1" applyBorder="1" applyAlignment="1">
      <alignment/>
      <protection/>
    </xf>
    <xf numFmtId="0" fontId="6" fillId="0" borderId="0" xfId="20" applyFont="1" applyFill="1" applyAlignment="1">
      <alignment horizontal="right"/>
      <protection/>
    </xf>
    <xf numFmtId="0" fontId="8" fillId="0" borderId="2" xfId="20" applyFont="1" applyFill="1" applyBorder="1" applyAlignment="1">
      <alignment horizontal="right"/>
      <protection/>
    </xf>
    <xf numFmtId="4" fontId="9" fillId="0" borderId="0" xfId="20" applyNumberFormat="1" applyFont="1" applyFill="1" applyBorder="1" applyAlignment="1">
      <alignment horizontal="center"/>
      <protection/>
    </xf>
    <xf numFmtId="0" fontId="1" fillId="0" borderId="0" xfId="20" applyFont="1" applyFill="1" applyAlignment="1">
      <alignment horizontal="right"/>
      <protection/>
    </xf>
    <xf numFmtId="0" fontId="8" fillId="0" borderId="6" xfId="20" applyNumberFormat="1" applyFont="1" applyFill="1" applyBorder="1" applyAlignment="1">
      <alignment horizontal="center"/>
      <protection/>
    </xf>
    <xf numFmtId="0" fontId="11" fillId="0" borderId="7" xfId="20" applyNumberFormat="1" applyFont="1" applyFill="1" applyBorder="1" applyAlignment="1">
      <alignment horizontal="right"/>
      <protection/>
    </xf>
    <xf numFmtId="168" fontId="11" fillId="0" borderId="5" xfId="20" applyNumberFormat="1" applyFont="1" applyFill="1" applyBorder="1" applyAlignment="1">
      <alignment/>
      <protection/>
    </xf>
    <xf numFmtId="168" fontId="11" fillId="0" borderId="11" xfId="0" applyNumberFormat="1" applyFont="1" applyFill="1" applyBorder="1"/>
    <xf numFmtId="0" fontId="11" fillId="0" borderId="5" xfId="20" applyFont="1" applyFill="1" applyBorder="1" applyAlignment="1">
      <alignment horizontal="right"/>
      <protection/>
    </xf>
    <xf numFmtId="165" fontId="11" fillId="0" borderId="10" xfId="20" applyNumberFormat="1" applyFont="1" applyFill="1" applyBorder="1" applyAlignment="1">
      <alignment horizontal="right"/>
      <protection/>
    </xf>
    <xf numFmtId="165" fontId="11" fillId="0" borderId="11" xfId="20" applyNumberFormat="1" applyFont="1" applyFill="1" applyBorder="1" applyAlignment="1">
      <alignment horizontal="right"/>
      <protection/>
    </xf>
    <xf numFmtId="0" fontId="3" fillId="0" borderId="0" xfId="20" applyFont="1" applyFill="1" applyAlignment="1">
      <alignment/>
      <protection/>
    </xf>
    <xf numFmtId="0" fontId="11" fillId="0" borderId="0" xfId="20" applyFont="1" applyFill="1">
      <alignment/>
      <protection/>
    </xf>
    <xf numFmtId="0" fontId="3" fillId="0" borderId="0" xfId="20" applyFill="1">
      <alignment/>
      <protection/>
    </xf>
    <xf numFmtId="0" fontId="3" fillId="0" borderId="0" xfId="20" applyFill="1" applyAlignment="1">
      <alignment horizontal="right"/>
      <protection/>
    </xf>
    <xf numFmtId="3" fontId="14" fillId="0" borderId="0" xfId="20" applyNumberFormat="1" applyFont="1" applyFill="1" applyBorder="1" applyAlignment="1">
      <alignment horizontal="right"/>
      <protection/>
    </xf>
    <xf numFmtId="0" fontId="3" fillId="0" borderId="0" xfId="20" applyFill="1" applyBorder="1" applyAlignment="1">
      <alignment horizontal="right"/>
      <protection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Border="1"/>
    <xf numFmtId="0" fontId="21" fillId="0" borderId="5" xfId="0" applyFont="1" applyBorder="1"/>
    <xf numFmtId="0" fontId="19" fillId="0" borderId="10" xfId="0" applyFont="1" applyBorder="1" applyAlignment="1">
      <alignment vertical="top"/>
    </xf>
    <xf numFmtId="168" fontId="11" fillId="0" borderId="18" xfId="20" applyNumberFormat="1" applyFont="1" applyFill="1" applyBorder="1" applyAlignment="1">
      <alignment/>
      <protection/>
    </xf>
    <xf numFmtId="168" fontId="11" fillId="0" borderId="9" xfId="20" applyNumberFormat="1" applyFont="1" applyFill="1" applyBorder="1" applyAlignment="1">
      <alignment/>
      <protection/>
    </xf>
    <xf numFmtId="169" fontId="19" fillId="0" borderId="10" xfId="0" applyNumberFormat="1" applyFont="1" applyBorder="1"/>
    <xf numFmtId="168" fontId="11" fillId="0" borderId="5" xfId="20" applyNumberFormat="1" applyFont="1" applyBorder="1">
      <alignment/>
      <protection/>
    </xf>
    <xf numFmtId="168" fontId="11" fillId="0" borderId="5" xfId="0" applyNumberFormat="1" applyFont="1" applyBorder="1"/>
    <xf numFmtId="0" fontId="3" fillId="0" borderId="0" xfId="20" applyFont="1">
      <alignment/>
      <protection/>
    </xf>
    <xf numFmtId="0" fontId="9" fillId="0" borderId="11" xfId="0" applyFont="1" applyBorder="1" applyAlignment="1">
      <alignment horizontal="left"/>
    </xf>
    <xf numFmtId="168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Border="1"/>
    <xf numFmtId="168" fontId="11" fillId="0" borderId="5" xfId="0" applyNumberFormat="1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165" fontId="11" fillId="0" borderId="5" xfId="22" applyNumberFormat="1" applyFont="1" applyFill="1" applyBorder="1" applyAlignment="1" applyProtection="1">
      <alignment horizontal="right"/>
      <protection locked="0"/>
    </xf>
    <xf numFmtId="0" fontId="11" fillId="0" borderId="5" xfId="20" applyFont="1" applyFill="1" applyBorder="1" applyAlignment="1">
      <alignment/>
      <protection/>
    </xf>
    <xf numFmtId="0" fontId="11" fillId="0" borderId="5" xfId="0" applyFont="1" applyBorder="1" applyAlignment="1">
      <alignment vertical="top"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/>
    <xf numFmtId="0" fontId="11" fillId="0" borderId="5" xfId="20" applyFont="1" applyBorder="1" applyAlignment="1">
      <alignment horizontal="right"/>
      <protection/>
    </xf>
    <xf numFmtId="168" fontId="19" fillId="0" borderId="5" xfId="20" applyNumberFormat="1" applyFont="1" applyBorder="1">
      <alignment/>
      <protection/>
    </xf>
    <xf numFmtId="0" fontId="19" fillId="0" borderId="5" xfId="0" applyFont="1" applyBorder="1"/>
    <xf numFmtId="0" fontId="4" fillId="0" borderId="0" xfId="20" applyFont="1" applyAlignment="1">
      <alignment horizontal="center"/>
      <protection/>
    </xf>
    <xf numFmtId="0" fontId="1" fillId="0" borderId="19" xfId="20" applyFont="1" applyBorder="1" applyAlignment="1">
      <alignment horizontal="center"/>
      <protection/>
    </xf>
    <xf numFmtId="0" fontId="1" fillId="0" borderId="20" xfId="20" applyFont="1" applyBorder="1" applyAlignment="1">
      <alignment horizontal="center"/>
      <protection/>
    </xf>
    <xf numFmtId="49" fontId="1" fillId="0" borderId="21" xfId="20" applyNumberFormat="1" applyFont="1" applyBorder="1" applyAlignment="1">
      <alignment horizontal="center"/>
      <protection/>
    </xf>
    <xf numFmtId="0" fontId="1" fillId="0" borderId="22" xfId="20" applyFont="1" applyBorder="1" applyAlignment="1">
      <alignment horizontal="center"/>
      <protection/>
    </xf>
    <xf numFmtId="4" fontId="9" fillId="0" borderId="23" xfId="20" applyNumberFormat="1" applyFont="1" applyBorder="1" applyAlignment="1">
      <alignment horizontal="center" shrinkToFit="1"/>
      <protection/>
    </xf>
    <xf numFmtId="0" fontId="9" fillId="0" borderId="4" xfId="20" applyFont="1" applyBorder="1" applyAlignment="1">
      <alignment horizontal="center" shrinkToFit="1"/>
      <protection/>
    </xf>
    <xf numFmtId="0" fontId="9" fillId="0" borderId="24" xfId="20" applyFont="1" applyBorder="1" applyAlignment="1">
      <alignment horizontal="center" shrinkToFi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" xfId="21"/>
    <cellStyle name="normální 2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microsoft.com/office/2017/10/relationships/person" Target="persons/person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3CA891E\SO%20001V&#353;eobecn&#233;%20polo&#382;ky%20Kluck&#233;%20Chvalo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SO 001</v>
          </cell>
          <cell r="C5" t="str">
            <v>Všeobecné položky</v>
          </cell>
        </row>
        <row r="6">
          <cell r="G6">
            <v>0</v>
          </cell>
        </row>
        <row r="8">
          <cell r="C8" t="str">
            <v>OPTIMA s.r.o.</v>
          </cell>
        </row>
        <row r="30">
          <cell r="C30">
            <v>20</v>
          </cell>
        </row>
        <row r="32">
          <cell r="C32">
            <v>0</v>
          </cell>
        </row>
      </sheetData>
      <sheetData sheetId="1">
        <row r="8">
          <cell r="E8">
            <v>63000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14">
          <cell r="H14">
            <v>0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view="pageBreakPreview" zoomScaleSheetLayoutView="100" workbookViewId="0" topLeftCell="A7">
      <selection activeCell="F25" sqref="F25"/>
    </sheetView>
  </sheetViews>
  <sheetFormatPr defaultColWidth="9.33203125" defaultRowHeight="12.75"/>
  <cols>
    <col min="1" max="1" width="5.16015625" style="1" customWidth="1"/>
    <col min="2" max="2" width="13.16015625" style="1" customWidth="1"/>
    <col min="3" max="3" width="82.66015625" style="1" bestFit="1" customWidth="1"/>
    <col min="4" max="4" width="5" style="1" bestFit="1" customWidth="1"/>
    <col min="5" max="5" width="10.16015625" style="71" bestFit="1" customWidth="1"/>
    <col min="6" max="6" width="10.83203125" style="1" customWidth="1"/>
    <col min="7" max="7" width="12" style="1" bestFit="1" customWidth="1"/>
    <col min="8" max="8" width="8.5" style="1" customWidth="1"/>
    <col min="9" max="9" width="11.66015625" style="1" bestFit="1" customWidth="1"/>
    <col min="10" max="10" width="26.5" style="1" bestFit="1" customWidth="1"/>
    <col min="11" max="11" width="22.16015625" style="1" bestFit="1" customWidth="1"/>
    <col min="12" max="16384" width="9.33203125" style="1" customWidth="1"/>
  </cols>
  <sheetData>
    <row r="1" spans="1:7" ht="15.75">
      <c r="A1" s="247" t="s">
        <v>2</v>
      </c>
      <c r="B1" s="247"/>
      <c r="C1" s="247"/>
      <c r="D1" s="247"/>
      <c r="E1" s="247"/>
      <c r="F1" s="247"/>
      <c r="G1" s="247"/>
    </row>
    <row r="2" spans="1:7" ht="14.25" customHeight="1" thickBot="1">
      <c r="A2" s="2"/>
      <c r="B2" s="3"/>
      <c r="C2" s="4"/>
      <c r="D2" s="4"/>
      <c r="E2" s="5"/>
      <c r="F2" s="4"/>
      <c r="G2" s="4"/>
    </row>
    <row r="3" spans="1:7" ht="13.5" thickTop="1">
      <c r="A3" s="248" t="s">
        <v>3</v>
      </c>
      <c r="B3" s="249"/>
      <c r="C3" s="6" t="s">
        <v>44</v>
      </c>
      <c r="D3" s="7"/>
      <c r="E3" s="8" t="s">
        <v>4</v>
      </c>
      <c r="F3" s="9">
        <v>44470</v>
      </c>
      <c r="G3" s="10"/>
    </row>
    <row r="4" spans="1:7" ht="13.5" thickBot="1">
      <c r="A4" s="250" t="s">
        <v>5</v>
      </c>
      <c r="B4" s="251"/>
      <c r="C4" s="11" t="s">
        <v>81</v>
      </c>
      <c r="D4" s="12"/>
      <c r="E4" s="252"/>
      <c r="F4" s="253"/>
      <c r="G4" s="254"/>
    </row>
    <row r="5" spans="1:11" ht="13.5" thickTop="1">
      <c r="A5" s="13"/>
      <c r="B5" s="14"/>
      <c r="C5" s="15"/>
      <c r="D5" s="16"/>
      <c r="E5" s="17"/>
      <c r="F5" s="18"/>
      <c r="G5" s="18"/>
      <c r="H5" s="19"/>
      <c r="I5" s="19"/>
      <c r="J5" s="19"/>
      <c r="K5" s="19"/>
    </row>
    <row r="6" spans="1:11" ht="12.75">
      <c r="A6" s="20"/>
      <c r="B6" s="2"/>
      <c r="C6" s="2"/>
      <c r="D6" s="21"/>
      <c r="E6" s="22"/>
      <c r="F6" s="21"/>
      <c r="G6" s="21"/>
      <c r="H6" s="19"/>
      <c r="I6" s="19"/>
      <c r="J6" s="19"/>
      <c r="K6" s="19"/>
    </row>
    <row r="7" spans="1:9" ht="25.5">
      <c r="A7" s="23" t="s">
        <v>6</v>
      </c>
      <c r="B7" s="24" t="s">
        <v>7</v>
      </c>
      <c r="C7" s="24" t="s">
        <v>8</v>
      </c>
      <c r="D7" s="24" t="s">
        <v>9</v>
      </c>
      <c r="E7" s="25" t="s">
        <v>10</v>
      </c>
      <c r="F7" s="24" t="s">
        <v>11</v>
      </c>
      <c r="G7" s="26" t="s">
        <v>12</v>
      </c>
      <c r="H7" s="27" t="s">
        <v>13</v>
      </c>
      <c r="I7" s="27" t="s">
        <v>14</v>
      </c>
    </row>
    <row r="8" spans="1:9" ht="18" customHeight="1">
      <c r="A8" s="87"/>
      <c r="B8" s="88" t="s">
        <v>15</v>
      </c>
      <c r="C8" s="89" t="s">
        <v>16</v>
      </c>
      <c r="D8" s="28"/>
      <c r="E8" s="29"/>
      <c r="F8" s="29"/>
      <c r="G8" s="90">
        <f>SUM(G9:G11)</f>
        <v>0</v>
      </c>
      <c r="H8" s="91"/>
      <c r="I8" s="92"/>
    </row>
    <row r="9" spans="1:9" s="19" customFormat="1" ht="12.75">
      <c r="A9" s="30"/>
      <c r="B9" s="31"/>
      <c r="C9" s="32" t="s">
        <v>86</v>
      </c>
      <c r="D9" s="33" t="s">
        <v>18</v>
      </c>
      <c r="E9" s="34">
        <v>1</v>
      </c>
      <c r="F9" s="35"/>
      <c r="G9" s="36">
        <f>E9*F9</f>
        <v>0</v>
      </c>
      <c r="H9" s="37"/>
      <c r="I9" s="38"/>
    </row>
    <row r="10" spans="1:9" s="19" customFormat="1" ht="12.75">
      <c r="A10" s="30"/>
      <c r="B10" s="31"/>
      <c r="C10" s="32" t="s">
        <v>19</v>
      </c>
      <c r="D10" s="33" t="s">
        <v>18</v>
      </c>
      <c r="E10" s="34">
        <v>1</v>
      </c>
      <c r="F10" s="35"/>
      <c r="G10" s="36">
        <f>E10*F10</f>
        <v>0</v>
      </c>
      <c r="H10" s="37"/>
      <c r="I10" s="37"/>
    </row>
    <row r="11" spans="1:11" s="19" customFormat="1" ht="12.75">
      <c r="A11" s="30"/>
      <c r="B11" s="31"/>
      <c r="C11" s="39" t="s">
        <v>20</v>
      </c>
      <c r="D11" s="40" t="s">
        <v>18</v>
      </c>
      <c r="E11" s="41">
        <v>1</v>
      </c>
      <c r="F11" s="42"/>
      <c r="G11" s="43">
        <f>E11*F11</f>
        <v>0</v>
      </c>
      <c r="H11" s="37"/>
      <c r="I11" s="37"/>
      <c r="J11" s="127"/>
      <c r="K11" s="127"/>
    </row>
    <row r="12" spans="1:11" s="19" customFormat="1" ht="12.75">
      <c r="A12" s="93"/>
      <c r="B12" s="44"/>
      <c r="C12" s="94"/>
      <c r="D12" s="95"/>
      <c r="E12" s="96"/>
      <c r="F12" s="97"/>
      <c r="G12" s="58"/>
      <c r="H12" s="98"/>
      <c r="I12" s="99"/>
      <c r="J12" s="127"/>
      <c r="K12" s="127"/>
    </row>
    <row r="13" spans="1:11" s="19" customFormat="1" ht="12.75">
      <c r="A13" s="79"/>
      <c r="B13" s="100" t="s">
        <v>21</v>
      </c>
      <c r="C13" s="101" t="s">
        <v>22</v>
      </c>
      <c r="D13" s="102"/>
      <c r="E13" s="103"/>
      <c r="F13" s="60"/>
      <c r="G13" s="61">
        <f>SUM(G14:G19)</f>
        <v>0</v>
      </c>
      <c r="H13" s="104"/>
      <c r="I13" s="105"/>
      <c r="J13" s="127"/>
      <c r="K13" s="127"/>
    </row>
    <row r="14" spans="1:11" s="177" customFormat="1" ht="12.75">
      <c r="A14" s="186"/>
      <c r="B14" s="190" t="s">
        <v>87</v>
      </c>
      <c r="C14" s="191" t="s">
        <v>88</v>
      </c>
      <c r="D14" s="30" t="s">
        <v>23</v>
      </c>
      <c r="E14" s="181">
        <f>1*17*0.2+3.5*0.1*17</f>
        <v>9.350000000000001</v>
      </c>
      <c r="F14" s="47"/>
      <c r="G14" s="47">
        <f aca="true" t="shared" si="0" ref="G14:G19">F14*E14</f>
        <v>0</v>
      </c>
      <c r="H14" s="46">
        <v>0</v>
      </c>
      <c r="I14" s="48">
        <f aca="true" t="shared" si="1" ref="I14:I19">H14*E14</f>
        <v>0</v>
      </c>
      <c r="J14" s="176"/>
      <c r="K14" s="176"/>
    </row>
    <row r="15" spans="1:9" s="177" customFormat="1" ht="12.75">
      <c r="A15" s="186"/>
      <c r="B15" s="192" t="s">
        <v>89</v>
      </c>
      <c r="C15" s="192" t="s">
        <v>90</v>
      </c>
      <c r="D15" s="53" t="s">
        <v>23</v>
      </c>
      <c r="E15" s="179">
        <f>E14</f>
        <v>9.350000000000001</v>
      </c>
      <c r="F15" s="55"/>
      <c r="G15" s="47">
        <f t="shared" si="0"/>
        <v>0</v>
      </c>
      <c r="H15" s="46">
        <v>0</v>
      </c>
      <c r="I15" s="48">
        <f t="shared" si="1"/>
        <v>0</v>
      </c>
    </row>
    <row r="16" spans="1:9" s="177" customFormat="1" ht="12.75">
      <c r="A16" s="186"/>
      <c r="B16" s="193" t="s">
        <v>91</v>
      </c>
      <c r="C16" s="194" t="s">
        <v>92</v>
      </c>
      <c r="D16" s="40" t="s">
        <v>23</v>
      </c>
      <c r="E16" s="180">
        <f>E14</f>
        <v>9.350000000000001</v>
      </c>
      <c r="F16" s="42"/>
      <c r="G16" s="47">
        <f t="shared" si="0"/>
        <v>0</v>
      </c>
      <c r="H16" s="46">
        <v>0</v>
      </c>
      <c r="I16" s="48">
        <f t="shared" si="1"/>
        <v>0</v>
      </c>
    </row>
    <row r="17" spans="1:9" s="177" customFormat="1" ht="12.75">
      <c r="A17" s="186"/>
      <c r="B17" s="193" t="s">
        <v>93</v>
      </c>
      <c r="C17" s="194" t="s">
        <v>94</v>
      </c>
      <c r="D17" s="40" t="s">
        <v>23</v>
      </c>
      <c r="E17" s="180">
        <f>E16</f>
        <v>9.350000000000001</v>
      </c>
      <c r="F17" s="42"/>
      <c r="G17" s="47">
        <f aca="true" t="shared" si="2" ref="G17:G18">F17*E17</f>
        <v>0</v>
      </c>
      <c r="H17" s="46">
        <v>0</v>
      </c>
      <c r="I17" s="48">
        <f aca="true" t="shared" si="3" ref="I17:I18">H17*E17</f>
        <v>0</v>
      </c>
    </row>
    <row r="18" spans="1:9" s="177" customFormat="1" ht="12.75">
      <c r="A18" s="186"/>
      <c r="B18" s="193" t="s">
        <v>95</v>
      </c>
      <c r="C18" s="194" t="s">
        <v>96</v>
      </c>
      <c r="D18" s="40" t="s">
        <v>24</v>
      </c>
      <c r="E18" s="180">
        <f>E17*1.8</f>
        <v>16.830000000000002</v>
      </c>
      <c r="F18" s="42"/>
      <c r="G18" s="47">
        <f t="shared" si="2"/>
        <v>0</v>
      </c>
      <c r="H18" s="46">
        <v>0</v>
      </c>
      <c r="I18" s="48">
        <f t="shared" si="3"/>
        <v>0</v>
      </c>
    </row>
    <row r="19" spans="1:10" s="177" customFormat="1" ht="12.75">
      <c r="A19" s="184"/>
      <c r="B19" s="193" t="s">
        <v>97</v>
      </c>
      <c r="C19" s="137" t="s">
        <v>98</v>
      </c>
      <c r="D19" s="40" t="s">
        <v>0</v>
      </c>
      <c r="E19" s="181">
        <f>3.6*17</f>
        <v>61.2</v>
      </c>
      <c r="F19" s="42"/>
      <c r="G19" s="47">
        <f t="shared" si="0"/>
        <v>0</v>
      </c>
      <c r="H19" s="46">
        <v>0</v>
      </c>
      <c r="I19" s="48">
        <f t="shared" si="1"/>
        <v>0</v>
      </c>
      <c r="J19" s="185"/>
    </row>
    <row r="20" spans="1:12" s="19" customFormat="1" ht="12.75">
      <c r="A20" s="93"/>
      <c r="B20" s="80"/>
      <c r="C20" s="106"/>
      <c r="D20" s="56"/>
      <c r="E20" s="120"/>
      <c r="F20" s="57"/>
      <c r="G20" s="58"/>
      <c r="H20" s="98"/>
      <c r="I20" s="99"/>
      <c r="J20" s="127"/>
      <c r="K20" s="127"/>
      <c r="L20" s="127"/>
    </row>
    <row r="21" spans="1:12" s="19" customFormat="1" ht="12.75">
      <c r="A21" s="79"/>
      <c r="B21" s="81" t="s">
        <v>25</v>
      </c>
      <c r="C21" s="82" t="s">
        <v>26</v>
      </c>
      <c r="D21" s="50"/>
      <c r="E21" s="182"/>
      <c r="F21" s="51"/>
      <c r="G21" s="52">
        <f>SUM(G22:G22)</f>
        <v>0</v>
      </c>
      <c r="H21" s="107"/>
      <c r="I21" s="108">
        <f>SUM(I22:I22)</f>
        <v>12.325</v>
      </c>
      <c r="J21" s="128"/>
      <c r="K21" s="127"/>
      <c r="L21" s="127"/>
    </row>
    <row r="22" spans="1:10" s="177" customFormat="1" ht="12.75">
      <c r="A22" s="184"/>
      <c r="B22" s="190" t="s">
        <v>99</v>
      </c>
      <c r="C22" s="137" t="s">
        <v>100</v>
      </c>
      <c r="D22" s="53" t="s">
        <v>0</v>
      </c>
      <c r="E22" s="178">
        <f>2.5*17</f>
        <v>42.5</v>
      </c>
      <c r="F22" s="55"/>
      <c r="G22" s="43">
        <f aca="true" t="shared" si="4" ref="G22">F22*E22</f>
        <v>0</v>
      </c>
      <c r="H22" s="46">
        <v>0.29</v>
      </c>
      <c r="I22" s="48">
        <f aca="true" t="shared" si="5" ref="I22">H22*E22</f>
        <v>12.325</v>
      </c>
      <c r="J22" s="176"/>
    </row>
    <row r="23" spans="1:12" s="19" customFormat="1" ht="12.75">
      <c r="A23" s="93"/>
      <c r="B23" s="80"/>
      <c r="C23" s="106"/>
      <c r="D23" s="56"/>
      <c r="E23" s="170"/>
      <c r="F23" s="57"/>
      <c r="G23" s="58"/>
      <c r="H23" s="109"/>
      <c r="I23" s="124"/>
      <c r="J23" s="129"/>
      <c r="K23" s="129"/>
      <c r="L23" s="129"/>
    </row>
    <row r="24" spans="1:12" s="19" customFormat="1" ht="12.75">
      <c r="A24" s="79"/>
      <c r="B24" s="81" t="s">
        <v>27</v>
      </c>
      <c r="C24" s="82" t="s">
        <v>28</v>
      </c>
      <c r="D24" s="59"/>
      <c r="E24" s="85"/>
      <c r="F24" s="60"/>
      <c r="G24" s="61">
        <f>SUM(G25:G28)</f>
        <v>0</v>
      </c>
      <c r="H24" s="104"/>
      <c r="I24" s="111">
        <f>SUM(I25:I28)</f>
        <v>65.17076000000002</v>
      </c>
      <c r="J24" s="128"/>
      <c r="K24" s="127"/>
      <c r="L24" s="127"/>
    </row>
    <row r="25" spans="1:10" s="177" customFormat="1" ht="12.75">
      <c r="A25" s="175"/>
      <c r="B25" s="190" t="s">
        <v>101</v>
      </c>
      <c r="C25" s="137" t="s">
        <v>102</v>
      </c>
      <c r="D25" s="30" t="s">
        <v>0</v>
      </c>
      <c r="E25" s="183">
        <f>3.6*17*2</f>
        <v>122.4</v>
      </c>
      <c r="F25" s="47"/>
      <c r="G25" s="43">
        <f>F25*E25</f>
        <v>0</v>
      </c>
      <c r="H25" s="46">
        <v>0.46</v>
      </c>
      <c r="I25" s="48">
        <f aca="true" t="shared" si="6" ref="I25:I28">H25*E25</f>
        <v>56.304</v>
      </c>
      <c r="J25" s="189"/>
    </row>
    <row r="26" spans="1:10" s="177" customFormat="1" ht="12.75">
      <c r="A26" s="184"/>
      <c r="B26" s="190" t="s">
        <v>103</v>
      </c>
      <c r="C26" s="137" t="s">
        <v>104</v>
      </c>
      <c r="D26" s="30" t="s">
        <v>0</v>
      </c>
      <c r="E26" s="183">
        <f>3.5*17</f>
        <v>59.5</v>
      </c>
      <c r="F26" s="47"/>
      <c r="G26" s="43">
        <f>F26*E26</f>
        <v>0</v>
      </c>
      <c r="H26" s="46">
        <v>0.12</v>
      </c>
      <c r="I26" s="48">
        <f t="shared" si="6"/>
        <v>7.14</v>
      </c>
      <c r="J26" s="189"/>
    </row>
    <row r="27" spans="1:10" s="177" customFormat="1" ht="12.75">
      <c r="A27" s="184"/>
      <c r="B27" s="190" t="s">
        <v>105</v>
      </c>
      <c r="C27" s="137" t="s">
        <v>106</v>
      </c>
      <c r="D27" s="30" t="s">
        <v>0</v>
      </c>
      <c r="E27" s="195">
        <f>17*0.5</f>
        <v>8.5</v>
      </c>
      <c r="F27" s="47"/>
      <c r="G27" s="43">
        <f aca="true" t="shared" si="7" ref="G27:G28">F27*E27</f>
        <v>0</v>
      </c>
      <c r="H27" s="46">
        <v>0.108</v>
      </c>
      <c r="I27" s="48">
        <f t="shared" si="6"/>
        <v>0.918</v>
      </c>
      <c r="J27" s="189"/>
    </row>
    <row r="28" spans="1:10" s="177" customFormat="1" ht="12.75">
      <c r="A28" s="184"/>
      <c r="B28" s="190" t="s">
        <v>107</v>
      </c>
      <c r="C28" s="137" t="s">
        <v>108</v>
      </c>
      <c r="D28" s="30" t="s">
        <v>1</v>
      </c>
      <c r="E28" s="195">
        <v>4</v>
      </c>
      <c r="F28" s="47"/>
      <c r="G28" s="43">
        <f t="shared" si="7"/>
        <v>0</v>
      </c>
      <c r="H28" s="46">
        <v>0.20219</v>
      </c>
      <c r="I28" s="48">
        <f t="shared" si="6"/>
        <v>0.80876</v>
      </c>
      <c r="J28" s="189"/>
    </row>
    <row r="29" spans="1:12" s="78" customFormat="1" ht="12.75">
      <c r="A29" s="112"/>
      <c r="B29" s="80"/>
      <c r="C29" s="113"/>
      <c r="D29" s="114"/>
      <c r="E29" s="115"/>
      <c r="F29" s="116"/>
      <c r="G29" s="117"/>
      <c r="H29" s="118"/>
      <c r="I29" s="196"/>
      <c r="J29" s="130"/>
      <c r="K29" s="131"/>
      <c r="L29" s="131"/>
    </row>
    <row r="30" spans="1:13" s="19" customFormat="1" ht="12.75">
      <c r="A30" s="79"/>
      <c r="B30" s="81" t="s">
        <v>32</v>
      </c>
      <c r="C30" s="83" t="s">
        <v>33</v>
      </c>
      <c r="D30" s="50"/>
      <c r="E30" s="126"/>
      <c r="F30" s="51"/>
      <c r="G30" s="52">
        <f>SUM(G31:G33)</f>
        <v>0</v>
      </c>
      <c r="H30" s="123"/>
      <c r="I30" s="108"/>
      <c r="J30" s="128"/>
      <c r="K30" s="127"/>
      <c r="L30" s="127"/>
      <c r="M30" s="127"/>
    </row>
    <row r="31" spans="1:10" s="177" customFormat="1" ht="12.75">
      <c r="A31" s="175"/>
      <c r="B31" s="190" t="s">
        <v>37</v>
      </c>
      <c r="C31" s="137" t="s">
        <v>109</v>
      </c>
      <c r="D31" s="53" t="s">
        <v>24</v>
      </c>
      <c r="E31" s="54">
        <f>I22</f>
        <v>12.325</v>
      </c>
      <c r="F31" s="55"/>
      <c r="G31" s="43">
        <f>F31*E31</f>
        <v>0</v>
      </c>
      <c r="H31" s="46">
        <v>0</v>
      </c>
      <c r="I31" s="48">
        <f aca="true" t="shared" si="8" ref="I31:I33">H31*E31</f>
        <v>0</v>
      </c>
      <c r="J31" s="188"/>
    </row>
    <row r="32" spans="1:10" s="177" customFormat="1" ht="12.75">
      <c r="A32" s="175"/>
      <c r="B32" s="190" t="s">
        <v>38</v>
      </c>
      <c r="C32" s="137" t="s">
        <v>110</v>
      </c>
      <c r="D32" s="53" t="s">
        <v>24</v>
      </c>
      <c r="E32" s="54">
        <f>E31*2</f>
        <v>24.65</v>
      </c>
      <c r="F32" s="55"/>
      <c r="G32" s="43">
        <f>F32*E32</f>
        <v>0</v>
      </c>
      <c r="H32" s="46">
        <v>0</v>
      </c>
      <c r="I32" s="48">
        <f t="shared" si="8"/>
        <v>0</v>
      </c>
      <c r="J32" s="188"/>
    </row>
    <row r="33" spans="1:10" s="177" customFormat="1" ht="12.75">
      <c r="A33" s="175"/>
      <c r="B33" s="190" t="s">
        <v>111</v>
      </c>
      <c r="C33" s="137" t="s">
        <v>112</v>
      </c>
      <c r="D33" s="53" t="s">
        <v>24</v>
      </c>
      <c r="E33" s="45">
        <f>I24+I21</f>
        <v>77.49576000000002</v>
      </c>
      <c r="F33" s="55"/>
      <c r="G33" s="43">
        <f>F33*E33</f>
        <v>0</v>
      </c>
      <c r="H33" s="46">
        <v>0</v>
      </c>
      <c r="I33" s="48">
        <f t="shared" si="8"/>
        <v>0</v>
      </c>
      <c r="J33" s="188"/>
    </row>
    <row r="34" spans="1:11" s="19" customFormat="1" ht="12.75">
      <c r="A34" s="62"/>
      <c r="B34" s="197"/>
      <c r="C34" s="197"/>
      <c r="D34" s="198"/>
      <c r="E34" s="198"/>
      <c r="F34" s="198"/>
      <c r="G34" s="198"/>
      <c r="H34" s="198"/>
      <c r="I34" s="198"/>
      <c r="J34" s="128"/>
      <c r="K34" s="127"/>
    </row>
    <row r="35" spans="1:11" s="19" customFormat="1" ht="12.75">
      <c r="A35" s="62"/>
      <c r="B35" s="78"/>
      <c r="C35" s="78"/>
      <c r="E35" s="86"/>
      <c r="F35" s="86"/>
      <c r="G35" s="86"/>
      <c r="J35" s="128"/>
      <c r="K35" s="127"/>
    </row>
    <row r="36" spans="3:11" s="64" customFormat="1" ht="12.75">
      <c r="C36" s="66" t="s">
        <v>34</v>
      </c>
      <c r="G36" s="67">
        <f>G13+G24+G30+G21+G8</f>
        <v>0</v>
      </c>
      <c r="I36" s="67"/>
      <c r="J36" s="132"/>
      <c r="K36" s="133"/>
    </row>
    <row r="37" spans="1:11" ht="12.75">
      <c r="A37" s="64"/>
      <c r="B37" s="64"/>
      <c r="C37" s="66" t="s">
        <v>35</v>
      </c>
      <c r="D37" s="64"/>
      <c r="E37" s="64"/>
      <c r="F37" s="64"/>
      <c r="G37" s="68">
        <f>G36*0.21</f>
        <v>0</v>
      </c>
      <c r="H37" s="64"/>
      <c r="I37" s="68"/>
      <c r="J37" s="134"/>
      <c r="K37" s="133"/>
    </row>
    <row r="38" spans="1:11" ht="12.75">
      <c r="A38" s="64"/>
      <c r="B38" s="64"/>
      <c r="C38" s="69" t="s">
        <v>36</v>
      </c>
      <c r="D38" s="64"/>
      <c r="E38" s="64"/>
      <c r="F38" s="64"/>
      <c r="G38" s="67">
        <f>SUM(G36:G37)</f>
        <v>0</v>
      </c>
      <c r="H38" s="64"/>
      <c r="I38" s="67"/>
      <c r="K38" s="65"/>
    </row>
    <row r="39" spans="3:7" ht="12.75">
      <c r="C39" s="66"/>
      <c r="E39" s="1"/>
      <c r="G39" s="68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spans="1:2" ht="12.75">
      <c r="A52" s="70"/>
      <c r="B52" s="70"/>
    </row>
    <row r="53" spans="1:5" ht="12.75">
      <c r="A53" s="72"/>
      <c r="B53" s="72"/>
      <c r="C53" s="73"/>
      <c r="D53" s="73"/>
      <c r="E53" s="74"/>
    </row>
    <row r="54" spans="1:5" ht="12.75">
      <c r="A54" s="75"/>
      <c r="B54" s="75"/>
      <c r="C54" s="72"/>
      <c r="D54" s="72"/>
      <c r="E54" s="76"/>
    </row>
    <row r="55" spans="1:5" ht="12.75">
      <c r="A55" s="72"/>
      <c r="B55" s="72"/>
      <c r="C55" s="72"/>
      <c r="D55" s="72"/>
      <c r="E55" s="76"/>
    </row>
    <row r="56" spans="1:7" ht="12.75">
      <c r="A56" s="72"/>
      <c r="B56" s="72"/>
      <c r="C56" s="72"/>
      <c r="D56" s="72"/>
      <c r="E56" s="76"/>
      <c r="F56" s="77"/>
      <c r="G56" s="77"/>
    </row>
    <row r="57" spans="1:7" ht="12.75">
      <c r="A57" s="72"/>
      <c r="B57" s="72"/>
      <c r="C57" s="72"/>
      <c r="D57" s="72"/>
      <c r="E57" s="76"/>
      <c r="F57" s="72"/>
      <c r="G57" s="72"/>
    </row>
    <row r="58" spans="1:7" ht="12.75">
      <c r="A58" s="72"/>
      <c r="B58" s="72"/>
      <c r="C58" s="72"/>
      <c r="D58" s="72"/>
      <c r="E58" s="76"/>
      <c r="F58" s="72"/>
      <c r="G58" s="72"/>
    </row>
    <row r="59" spans="1:7" ht="12.75">
      <c r="A59" s="72"/>
      <c r="B59" s="72"/>
      <c r="C59" s="72"/>
      <c r="D59" s="72"/>
      <c r="E59" s="76"/>
      <c r="F59" s="72"/>
      <c r="G59" s="72"/>
    </row>
    <row r="60" spans="1:7" ht="12.75">
      <c r="A60" s="72"/>
      <c r="B60" s="72"/>
      <c r="C60" s="72"/>
      <c r="D60" s="72"/>
      <c r="E60" s="76"/>
      <c r="F60" s="72"/>
      <c r="G60" s="72"/>
    </row>
    <row r="61" spans="1:7" ht="12.75">
      <c r="A61" s="72"/>
      <c r="B61" s="72"/>
      <c r="C61" s="72"/>
      <c r="D61" s="72"/>
      <c r="E61" s="76"/>
      <c r="F61" s="72"/>
      <c r="G61" s="72"/>
    </row>
    <row r="62" spans="1:7" ht="12.75">
      <c r="A62" s="72"/>
      <c r="B62" s="72"/>
      <c r="C62" s="72"/>
      <c r="D62" s="72"/>
      <c r="E62" s="76"/>
      <c r="F62" s="72"/>
      <c r="G62" s="72"/>
    </row>
    <row r="63" spans="1:7" ht="12.75">
      <c r="A63" s="72"/>
      <c r="B63" s="72"/>
      <c r="C63" s="72"/>
      <c r="D63" s="72"/>
      <c r="E63" s="76"/>
      <c r="F63" s="72"/>
      <c r="G63" s="72"/>
    </row>
    <row r="64" spans="1:7" ht="12.75">
      <c r="A64" s="72"/>
      <c r="B64" s="72"/>
      <c r="C64" s="72"/>
      <c r="D64" s="72"/>
      <c r="E64" s="76"/>
      <c r="F64" s="72"/>
      <c r="G64" s="72"/>
    </row>
    <row r="65" spans="1:7" ht="12.75">
      <c r="A65" s="72"/>
      <c r="B65" s="72"/>
      <c r="C65" s="72"/>
      <c r="D65" s="72"/>
      <c r="E65" s="76"/>
      <c r="F65" s="72"/>
      <c r="G65" s="72"/>
    </row>
    <row r="66" spans="1:7" ht="12.75">
      <c r="A66" s="72"/>
      <c r="B66" s="72"/>
      <c r="C66" s="72"/>
      <c r="D66" s="72"/>
      <c r="E66" s="76"/>
      <c r="F66" s="72"/>
      <c r="G66" s="72"/>
    </row>
    <row r="67" spans="6:7" ht="12.75">
      <c r="F67" s="72"/>
      <c r="G67" s="72"/>
    </row>
    <row r="68" spans="6:7" ht="12.75">
      <c r="F68" s="72"/>
      <c r="G68" s="72"/>
    </row>
    <row r="69" spans="6:7" ht="12.75">
      <c r="F69" s="72"/>
      <c r="G69" s="72"/>
    </row>
  </sheetData>
  <mergeCells count="4">
    <mergeCell ref="A1:G1"/>
    <mergeCell ref="A3:B3"/>
    <mergeCell ref="A4:B4"/>
    <mergeCell ref="E4:G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BreakPreview" zoomScaleSheetLayoutView="100" workbookViewId="0" topLeftCell="A25">
      <selection activeCell="F36" sqref="F36"/>
    </sheetView>
  </sheetViews>
  <sheetFormatPr defaultColWidth="9.33203125" defaultRowHeight="12.75"/>
  <cols>
    <col min="1" max="1" width="5.16015625" style="1" customWidth="1"/>
    <col min="2" max="2" width="13.16015625" style="1" customWidth="1"/>
    <col min="3" max="3" width="82.66015625" style="1" bestFit="1" customWidth="1"/>
    <col min="4" max="4" width="5" style="1" bestFit="1" customWidth="1"/>
    <col min="5" max="5" width="10.16015625" style="71" bestFit="1" customWidth="1"/>
    <col min="6" max="6" width="10.83203125" style="1" customWidth="1"/>
    <col min="7" max="7" width="12" style="1" bestFit="1" customWidth="1"/>
    <col min="8" max="8" width="8.5" style="1" customWidth="1"/>
    <col min="9" max="9" width="11.66015625" style="1" bestFit="1" customWidth="1"/>
    <col min="10" max="10" width="26.5" style="1" bestFit="1" customWidth="1"/>
    <col min="11" max="11" width="22.16015625" style="1" bestFit="1" customWidth="1"/>
    <col min="12" max="16384" width="9.33203125" style="1" customWidth="1"/>
  </cols>
  <sheetData>
    <row r="1" spans="1:7" ht="15.75">
      <c r="A1" s="247" t="s">
        <v>2</v>
      </c>
      <c r="B1" s="247"/>
      <c r="C1" s="247"/>
      <c r="D1" s="247"/>
      <c r="E1" s="247"/>
      <c r="F1" s="247"/>
      <c r="G1" s="247"/>
    </row>
    <row r="2" spans="1:7" ht="14.25" customHeight="1" thickBot="1">
      <c r="A2" s="2"/>
      <c r="B2" s="3"/>
      <c r="C2" s="4"/>
      <c r="D2" s="4"/>
      <c r="E2" s="5"/>
      <c r="F2" s="4"/>
      <c r="G2" s="4"/>
    </row>
    <row r="3" spans="1:7" ht="13.5" thickTop="1">
      <c r="A3" s="248" t="s">
        <v>3</v>
      </c>
      <c r="B3" s="249"/>
      <c r="C3" s="6" t="s">
        <v>44</v>
      </c>
      <c r="D3" s="7"/>
      <c r="E3" s="8" t="s">
        <v>4</v>
      </c>
      <c r="F3" s="9">
        <v>44470</v>
      </c>
      <c r="G3" s="10"/>
    </row>
    <row r="4" spans="1:7" ht="13.5" thickBot="1">
      <c r="A4" s="250" t="s">
        <v>5</v>
      </c>
      <c r="B4" s="251"/>
      <c r="C4" s="11" t="s">
        <v>80</v>
      </c>
      <c r="D4" s="12"/>
      <c r="E4" s="252"/>
      <c r="F4" s="253"/>
      <c r="G4" s="254"/>
    </row>
    <row r="5" spans="1:11" ht="13.5" thickTop="1">
      <c r="A5" s="13"/>
      <c r="B5" s="14"/>
      <c r="C5" s="15"/>
      <c r="D5" s="16"/>
      <c r="E5" s="17"/>
      <c r="F5" s="18"/>
      <c r="G5" s="18"/>
      <c r="H5" s="19"/>
      <c r="I5" s="19"/>
      <c r="J5" s="19"/>
      <c r="K5" s="19"/>
    </row>
    <row r="6" spans="1:11" ht="12.75">
      <c r="A6" s="20"/>
      <c r="B6" s="2"/>
      <c r="C6" s="2"/>
      <c r="D6" s="21"/>
      <c r="E6" s="22"/>
      <c r="F6" s="21"/>
      <c r="G6" s="21"/>
      <c r="H6" s="19"/>
      <c r="I6" s="19"/>
      <c r="J6" s="19"/>
      <c r="K6" s="19"/>
    </row>
    <row r="7" spans="1:9" ht="25.5">
      <c r="A7" s="23" t="s">
        <v>6</v>
      </c>
      <c r="B7" s="24" t="s">
        <v>7</v>
      </c>
      <c r="C7" s="24" t="s">
        <v>8</v>
      </c>
      <c r="D7" s="24" t="s">
        <v>9</v>
      </c>
      <c r="E7" s="25" t="s">
        <v>10</v>
      </c>
      <c r="F7" s="24" t="s">
        <v>11</v>
      </c>
      <c r="G7" s="26" t="s">
        <v>12</v>
      </c>
      <c r="H7" s="27" t="s">
        <v>13</v>
      </c>
      <c r="I7" s="27" t="s">
        <v>14</v>
      </c>
    </row>
    <row r="8" spans="1:9" ht="18" customHeight="1">
      <c r="A8" s="87"/>
      <c r="B8" s="88" t="s">
        <v>15</v>
      </c>
      <c r="C8" s="89" t="s">
        <v>16</v>
      </c>
      <c r="D8" s="28"/>
      <c r="E8" s="29"/>
      <c r="F8" s="29"/>
      <c r="G8" s="90">
        <f>SUM(G9:G11)</f>
        <v>0</v>
      </c>
      <c r="H8" s="91"/>
      <c r="I8" s="92"/>
    </row>
    <row r="9" spans="1:9" s="19" customFormat="1" ht="12.75">
      <c r="A9" s="30"/>
      <c r="B9" s="31"/>
      <c r="C9" s="32" t="s">
        <v>17</v>
      </c>
      <c r="D9" s="33" t="s">
        <v>18</v>
      </c>
      <c r="E9" s="34">
        <v>1</v>
      </c>
      <c r="F9" s="35"/>
      <c r="G9" s="36">
        <f>E9*F9</f>
        <v>0</v>
      </c>
      <c r="H9" s="37"/>
      <c r="I9" s="38"/>
    </row>
    <row r="10" spans="1:9" s="19" customFormat="1" ht="12.75">
      <c r="A10" s="30"/>
      <c r="B10" s="31"/>
      <c r="C10" s="32" t="s">
        <v>19</v>
      </c>
      <c r="D10" s="33" t="s">
        <v>18</v>
      </c>
      <c r="E10" s="34">
        <v>1</v>
      </c>
      <c r="F10" s="35"/>
      <c r="G10" s="36">
        <f>E10*F10</f>
        <v>0</v>
      </c>
      <c r="H10" s="37"/>
      <c r="I10" s="37"/>
    </row>
    <row r="11" spans="1:11" s="19" customFormat="1" ht="12.75">
      <c r="A11" s="30"/>
      <c r="B11" s="31"/>
      <c r="C11" s="39" t="s">
        <v>20</v>
      </c>
      <c r="D11" s="40" t="s">
        <v>18</v>
      </c>
      <c r="E11" s="41">
        <v>1</v>
      </c>
      <c r="F11" s="42"/>
      <c r="G11" s="43">
        <f>E11*F11</f>
        <v>0</v>
      </c>
      <c r="H11" s="37"/>
      <c r="I11" s="37"/>
      <c r="J11" s="127"/>
      <c r="K11" s="127"/>
    </row>
    <row r="12" spans="1:11" s="19" customFormat="1" ht="12.75">
      <c r="A12" s="93"/>
      <c r="B12" s="44"/>
      <c r="C12" s="94"/>
      <c r="D12" s="95"/>
      <c r="E12" s="96"/>
      <c r="F12" s="97"/>
      <c r="G12" s="58"/>
      <c r="H12" s="98"/>
      <c r="I12" s="99"/>
      <c r="J12" s="127"/>
      <c r="K12" s="127"/>
    </row>
    <row r="13" spans="1:11" s="19" customFormat="1" ht="12.75">
      <c r="A13" s="79"/>
      <c r="B13" s="100" t="s">
        <v>21</v>
      </c>
      <c r="C13" s="101" t="s">
        <v>22</v>
      </c>
      <c r="D13" s="102"/>
      <c r="E13" s="103"/>
      <c r="F13" s="60"/>
      <c r="G13" s="61">
        <f>SUM(G14:G19)</f>
        <v>0</v>
      </c>
      <c r="H13" s="104"/>
      <c r="I13" s="105"/>
      <c r="J13" s="127"/>
      <c r="K13" s="127"/>
    </row>
    <row r="14" spans="1:11" s="198" customFormat="1" ht="12.75">
      <c r="A14" s="30"/>
      <c r="B14" s="190" t="s">
        <v>87</v>
      </c>
      <c r="C14" s="191" t="s">
        <v>88</v>
      </c>
      <c r="D14" s="30" t="s">
        <v>23</v>
      </c>
      <c r="E14" s="181">
        <f>1*19*0.2+3.6*0.1*19+3.6*13*0.1+6*4*0.1</f>
        <v>17.72</v>
      </c>
      <c r="F14" s="47"/>
      <c r="G14" s="47">
        <f aca="true" t="shared" si="0" ref="G14:G19">F14*E14</f>
        <v>0</v>
      </c>
      <c r="H14" s="46">
        <v>0</v>
      </c>
      <c r="I14" s="48">
        <f aca="true" t="shared" si="1" ref="I14:I19">H14*E14</f>
        <v>0</v>
      </c>
      <c r="J14" s="135"/>
      <c r="K14" s="135"/>
    </row>
    <row r="15" spans="1:9" s="198" customFormat="1" ht="12.75">
      <c r="A15" s="30"/>
      <c r="B15" s="192" t="s">
        <v>89</v>
      </c>
      <c r="C15" s="192" t="s">
        <v>90</v>
      </c>
      <c r="D15" s="53" t="s">
        <v>23</v>
      </c>
      <c r="E15" s="181">
        <f>E14</f>
        <v>17.72</v>
      </c>
      <c r="F15" s="55"/>
      <c r="G15" s="47">
        <f t="shared" si="0"/>
        <v>0</v>
      </c>
      <c r="H15" s="46">
        <v>0</v>
      </c>
      <c r="I15" s="48">
        <f t="shared" si="1"/>
        <v>0</v>
      </c>
    </row>
    <row r="16" spans="1:9" s="198" customFormat="1" ht="12.75">
      <c r="A16" s="30"/>
      <c r="B16" s="193" t="s">
        <v>91</v>
      </c>
      <c r="C16" s="194" t="s">
        <v>92</v>
      </c>
      <c r="D16" s="40" t="s">
        <v>23</v>
      </c>
      <c r="E16" s="180">
        <f>E14</f>
        <v>17.72</v>
      </c>
      <c r="F16" s="42"/>
      <c r="G16" s="47">
        <f t="shared" si="0"/>
        <v>0</v>
      </c>
      <c r="H16" s="46">
        <v>0</v>
      </c>
      <c r="I16" s="48">
        <f t="shared" si="1"/>
        <v>0</v>
      </c>
    </row>
    <row r="17" spans="1:9" s="198" customFormat="1" ht="12.75">
      <c r="A17" s="30"/>
      <c r="B17" s="193" t="s">
        <v>93</v>
      </c>
      <c r="C17" s="194" t="s">
        <v>94</v>
      </c>
      <c r="D17" s="40" t="s">
        <v>23</v>
      </c>
      <c r="E17" s="180">
        <f>E16</f>
        <v>17.72</v>
      </c>
      <c r="F17" s="42"/>
      <c r="G17" s="47">
        <f t="shared" si="0"/>
        <v>0</v>
      </c>
      <c r="H17" s="46">
        <v>0</v>
      </c>
      <c r="I17" s="48">
        <f t="shared" si="1"/>
        <v>0</v>
      </c>
    </row>
    <row r="18" spans="1:9" s="198" customFormat="1" ht="12.75">
      <c r="A18" s="30"/>
      <c r="B18" s="193" t="s">
        <v>95</v>
      </c>
      <c r="C18" s="194" t="s">
        <v>96</v>
      </c>
      <c r="D18" s="40" t="s">
        <v>24</v>
      </c>
      <c r="E18" s="180">
        <f>E17*1.8</f>
        <v>31.895999999999997</v>
      </c>
      <c r="F18" s="42"/>
      <c r="G18" s="47">
        <f t="shared" si="0"/>
        <v>0</v>
      </c>
      <c r="H18" s="46">
        <v>0</v>
      </c>
      <c r="I18" s="48">
        <f t="shared" si="1"/>
        <v>0</v>
      </c>
    </row>
    <row r="19" spans="1:10" s="198" customFormat="1" ht="12.75">
      <c r="A19" s="30"/>
      <c r="B19" s="193" t="s">
        <v>97</v>
      </c>
      <c r="C19" s="137" t="s">
        <v>98</v>
      </c>
      <c r="D19" s="40" t="s">
        <v>0</v>
      </c>
      <c r="E19" s="183">
        <f>3.6*19+3.6*13+6*4</f>
        <v>139.20000000000002</v>
      </c>
      <c r="F19" s="42"/>
      <c r="G19" s="47">
        <f t="shared" si="0"/>
        <v>0</v>
      </c>
      <c r="H19" s="46">
        <v>0</v>
      </c>
      <c r="I19" s="48">
        <f t="shared" si="1"/>
        <v>0</v>
      </c>
      <c r="J19" s="199"/>
    </row>
    <row r="20" spans="1:9" s="198" customFormat="1" ht="12.75">
      <c r="A20" s="93"/>
      <c r="B20" s="80"/>
      <c r="C20" s="106"/>
      <c r="D20" s="56"/>
      <c r="E20" s="120"/>
      <c r="F20" s="57"/>
      <c r="G20" s="58"/>
      <c r="H20" s="98"/>
      <c r="I20" s="99"/>
    </row>
    <row r="21" spans="1:10" s="198" customFormat="1" ht="12.75">
      <c r="A21" s="79"/>
      <c r="B21" s="81" t="s">
        <v>25</v>
      </c>
      <c r="C21" s="82" t="s">
        <v>26</v>
      </c>
      <c r="D21" s="50"/>
      <c r="E21" s="182"/>
      <c r="F21" s="51"/>
      <c r="G21" s="52">
        <f>SUM(G22:G22)</f>
        <v>0</v>
      </c>
      <c r="H21" s="107"/>
      <c r="I21" s="111">
        <f>SUM(I22)</f>
        <v>35.669999999999995</v>
      </c>
      <c r="J21" s="139"/>
    </row>
    <row r="22" spans="1:10" s="198" customFormat="1" ht="12.75">
      <c r="A22" s="93"/>
      <c r="B22" s="190" t="s">
        <v>99</v>
      </c>
      <c r="C22" s="137" t="s">
        <v>100</v>
      </c>
      <c r="D22" s="53" t="s">
        <v>0</v>
      </c>
      <c r="E22" s="178">
        <f>3.5*19+2.5*13+6*4</f>
        <v>123</v>
      </c>
      <c r="F22" s="55"/>
      <c r="G22" s="43">
        <f aca="true" t="shared" si="2" ref="G22">F22*E22</f>
        <v>0</v>
      </c>
      <c r="H22" s="46">
        <v>0.29</v>
      </c>
      <c r="I22" s="48">
        <f aca="true" t="shared" si="3" ref="I22">H22*E22</f>
        <v>35.669999999999995</v>
      </c>
      <c r="J22" s="135"/>
    </row>
    <row r="23" spans="1:12" s="198" customFormat="1" ht="12.75">
      <c r="A23" s="93"/>
      <c r="B23" s="80"/>
      <c r="C23" s="106"/>
      <c r="D23" s="56"/>
      <c r="E23" s="170"/>
      <c r="F23" s="57"/>
      <c r="G23" s="58"/>
      <c r="H23" s="109"/>
      <c r="I23" s="124"/>
      <c r="J23" s="138"/>
      <c r="K23" s="138"/>
      <c r="L23" s="138"/>
    </row>
    <row r="24" spans="1:10" s="198" customFormat="1" ht="12.75">
      <c r="A24" s="79"/>
      <c r="B24" s="81" t="s">
        <v>27</v>
      </c>
      <c r="C24" s="82" t="s">
        <v>28</v>
      </c>
      <c r="D24" s="59"/>
      <c r="E24" s="85"/>
      <c r="F24" s="60"/>
      <c r="G24" s="61">
        <f>SUM(G25:G28)</f>
        <v>0</v>
      </c>
      <c r="H24" s="104"/>
      <c r="I24" s="111">
        <f>SUM(I25:I28)</f>
        <v>146.92076000000003</v>
      </c>
      <c r="J24" s="139"/>
    </row>
    <row r="25" spans="1:10" s="198" customFormat="1" ht="12.75">
      <c r="A25" s="30"/>
      <c r="B25" s="190" t="s">
        <v>101</v>
      </c>
      <c r="C25" s="137" t="s">
        <v>102</v>
      </c>
      <c r="D25" s="30" t="s">
        <v>0</v>
      </c>
      <c r="E25" s="183">
        <f>(3.6*19+3.6*13+6*4)*2</f>
        <v>278.40000000000003</v>
      </c>
      <c r="F25" s="47"/>
      <c r="G25" s="43">
        <f>F25*E25</f>
        <v>0</v>
      </c>
      <c r="H25" s="46">
        <v>0.46</v>
      </c>
      <c r="I25" s="48">
        <f aca="true" t="shared" si="4" ref="I25:I28">H25*E25</f>
        <v>128.06400000000002</v>
      </c>
      <c r="J25" s="174"/>
    </row>
    <row r="26" spans="1:10" s="198" customFormat="1" ht="12.75">
      <c r="A26" s="93"/>
      <c r="B26" s="190" t="s">
        <v>103</v>
      </c>
      <c r="C26" s="137" t="s">
        <v>104</v>
      </c>
      <c r="D26" s="30" t="s">
        <v>0</v>
      </c>
      <c r="E26" s="183">
        <f>3.5*19+3.5*13+6*4</f>
        <v>136</v>
      </c>
      <c r="F26" s="47"/>
      <c r="G26" s="43">
        <f>F26*E26</f>
        <v>0</v>
      </c>
      <c r="H26" s="46">
        <v>0.12</v>
      </c>
      <c r="I26" s="48">
        <f t="shared" si="4"/>
        <v>16.32</v>
      </c>
      <c r="J26" s="199"/>
    </row>
    <row r="27" spans="1:10" s="198" customFormat="1" ht="12.75">
      <c r="A27" s="93"/>
      <c r="B27" s="190" t="s">
        <v>105</v>
      </c>
      <c r="C27" s="137" t="s">
        <v>106</v>
      </c>
      <c r="D27" s="30" t="s">
        <v>0</v>
      </c>
      <c r="E27" s="195">
        <f>(19+13)*0.5</f>
        <v>16</v>
      </c>
      <c r="F27" s="47"/>
      <c r="G27" s="43">
        <f aca="true" t="shared" si="5" ref="G27:G28">F27*E27</f>
        <v>0</v>
      </c>
      <c r="H27" s="46">
        <v>0.108</v>
      </c>
      <c r="I27" s="48">
        <f t="shared" si="4"/>
        <v>1.728</v>
      </c>
      <c r="J27" s="199"/>
    </row>
    <row r="28" spans="1:10" s="198" customFormat="1" ht="12.75">
      <c r="A28" s="93"/>
      <c r="B28" s="190" t="s">
        <v>107</v>
      </c>
      <c r="C28" s="137" t="s">
        <v>108</v>
      </c>
      <c r="D28" s="30" t="s">
        <v>0</v>
      </c>
      <c r="E28" s="195">
        <v>4</v>
      </c>
      <c r="F28" s="47"/>
      <c r="G28" s="43">
        <f t="shared" si="5"/>
        <v>0</v>
      </c>
      <c r="H28" s="46">
        <v>0.20219</v>
      </c>
      <c r="I28" s="48">
        <f t="shared" si="4"/>
        <v>0.80876</v>
      </c>
      <c r="J28" s="199"/>
    </row>
    <row r="29" spans="1:10" s="197" customFormat="1" ht="12.75">
      <c r="A29" s="112"/>
      <c r="B29" s="80"/>
      <c r="C29" s="113"/>
      <c r="D29" s="114"/>
      <c r="E29" s="115"/>
      <c r="F29" s="116"/>
      <c r="G29" s="117"/>
      <c r="H29" s="118"/>
      <c r="I29" s="196"/>
      <c r="J29" s="136"/>
    </row>
    <row r="30" spans="1:10" s="198" customFormat="1" ht="12.75">
      <c r="A30" s="146"/>
      <c r="B30" s="200" t="s">
        <v>32</v>
      </c>
      <c r="C30" s="201" t="s">
        <v>33</v>
      </c>
      <c r="D30" s="162"/>
      <c r="E30" s="202"/>
      <c r="F30" s="49"/>
      <c r="G30" s="203">
        <f>SUM(G31:G33)</f>
        <v>0</v>
      </c>
      <c r="H30" s="160"/>
      <c r="I30" s="204"/>
      <c r="J30" s="139"/>
    </row>
    <row r="31" spans="1:10" s="206" customFormat="1" ht="12.75">
      <c r="A31" s="30"/>
      <c r="B31" s="190" t="s">
        <v>37</v>
      </c>
      <c r="C31" s="137" t="s">
        <v>109</v>
      </c>
      <c r="D31" s="53" t="s">
        <v>24</v>
      </c>
      <c r="E31" s="54">
        <f>I22</f>
        <v>35.669999999999995</v>
      </c>
      <c r="F31" s="55"/>
      <c r="G31" s="43">
        <f>F31*E31</f>
        <v>0</v>
      </c>
      <c r="H31" s="46">
        <v>0</v>
      </c>
      <c r="I31" s="48">
        <f aca="true" t="shared" si="6" ref="I31:I33">H31*E31</f>
        <v>0</v>
      </c>
      <c r="J31" s="205"/>
    </row>
    <row r="32" spans="1:10" s="206" customFormat="1" ht="12.75">
      <c r="A32" s="30"/>
      <c r="B32" s="190" t="s">
        <v>38</v>
      </c>
      <c r="C32" s="137" t="s">
        <v>110</v>
      </c>
      <c r="D32" s="53" t="s">
        <v>24</v>
      </c>
      <c r="E32" s="54">
        <f>E31*2</f>
        <v>71.33999999999999</v>
      </c>
      <c r="F32" s="55"/>
      <c r="G32" s="43">
        <f>F32*E32</f>
        <v>0</v>
      </c>
      <c r="H32" s="46">
        <v>0</v>
      </c>
      <c r="I32" s="48">
        <f t="shared" si="6"/>
        <v>0</v>
      </c>
      <c r="J32" s="205"/>
    </row>
    <row r="33" spans="1:10" s="206" customFormat="1" ht="12.75">
      <c r="A33" s="30"/>
      <c r="B33" s="190" t="s">
        <v>111</v>
      </c>
      <c r="C33" s="137" t="s">
        <v>112</v>
      </c>
      <c r="D33" s="53" t="s">
        <v>24</v>
      </c>
      <c r="E33" s="45">
        <f>I24+I21</f>
        <v>182.59076000000002</v>
      </c>
      <c r="F33" s="55"/>
      <c r="G33" s="43">
        <f>F33*E33</f>
        <v>0</v>
      </c>
      <c r="H33" s="46">
        <v>0</v>
      </c>
      <c r="I33" s="48">
        <f t="shared" si="6"/>
        <v>0</v>
      </c>
      <c r="J33" s="205"/>
    </row>
    <row r="34" spans="1:11" s="19" customFormat="1" ht="12.75">
      <c r="A34" s="62"/>
      <c r="B34" s="78"/>
      <c r="C34" s="78"/>
      <c r="E34" s="86"/>
      <c r="F34" s="86"/>
      <c r="G34" s="86"/>
      <c r="J34" s="128"/>
      <c r="K34" s="127"/>
    </row>
    <row r="35" spans="1:11" s="19" customFormat="1" ht="12.75">
      <c r="A35" s="62"/>
      <c r="B35" s="78"/>
      <c r="C35" s="78"/>
      <c r="E35" s="86"/>
      <c r="F35" s="86"/>
      <c r="G35" s="86"/>
      <c r="J35" s="128"/>
      <c r="K35" s="127"/>
    </row>
    <row r="36" spans="3:11" s="64" customFormat="1" ht="12.75">
      <c r="C36" s="66" t="s">
        <v>34</v>
      </c>
      <c r="G36" s="67">
        <f>G13+G24+G30+G21+G8</f>
        <v>0</v>
      </c>
      <c r="I36" s="67"/>
      <c r="J36" s="132"/>
      <c r="K36" s="133"/>
    </row>
    <row r="37" spans="1:11" ht="12.75">
      <c r="A37" s="64"/>
      <c r="B37" s="64"/>
      <c r="C37" s="66" t="s">
        <v>35</v>
      </c>
      <c r="D37" s="64"/>
      <c r="E37" s="64"/>
      <c r="F37" s="64"/>
      <c r="G37" s="68">
        <f>G36*0.21</f>
        <v>0</v>
      </c>
      <c r="H37" s="64"/>
      <c r="I37" s="68"/>
      <c r="J37" s="134"/>
      <c r="K37" s="133"/>
    </row>
    <row r="38" spans="1:11" ht="12.75">
      <c r="A38" s="64"/>
      <c r="B38" s="64"/>
      <c r="C38" s="69" t="s">
        <v>36</v>
      </c>
      <c r="D38" s="64"/>
      <c r="E38" s="64"/>
      <c r="F38" s="64"/>
      <c r="G38" s="67">
        <f>SUM(G36:G37)</f>
        <v>0</v>
      </c>
      <c r="H38" s="64"/>
      <c r="I38" s="67"/>
      <c r="K38" s="65"/>
    </row>
    <row r="39" spans="3:7" ht="12.75">
      <c r="C39" s="66"/>
      <c r="E39" s="1"/>
      <c r="G39" s="68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spans="1:2" ht="12.75">
      <c r="A52" s="70"/>
      <c r="B52" s="70"/>
    </row>
    <row r="53" spans="1:5" ht="12.75">
      <c r="A53" s="72"/>
      <c r="B53" s="72"/>
      <c r="C53" s="73"/>
      <c r="D53" s="73"/>
      <c r="E53" s="74"/>
    </row>
    <row r="54" spans="1:5" ht="12.75">
      <c r="A54" s="75"/>
      <c r="B54" s="75"/>
      <c r="C54" s="72"/>
      <c r="D54" s="72"/>
      <c r="E54" s="76"/>
    </row>
    <row r="55" spans="1:5" ht="12.75">
      <c r="A55" s="72"/>
      <c r="B55" s="72"/>
      <c r="C55" s="72"/>
      <c r="D55" s="72"/>
      <c r="E55" s="76"/>
    </row>
    <row r="56" spans="1:7" ht="12.75">
      <c r="A56" s="72"/>
      <c r="B56" s="72"/>
      <c r="C56" s="72"/>
      <c r="D56" s="72"/>
      <c r="E56" s="76"/>
      <c r="F56" s="77"/>
      <c r="G56" s="77"/>
    </row>
    <row r="57" spans="1:7" ht="12.75">
      <c r="A57" s="72"/>
      <c r="B57" s="72"/>
      <c r="C57" s="72"/>
      <c r="D57" s="72"/>
      <c r="E57" s="76"/>
      <c r="F57" s="72"/>
      <c r="G57" s="72"/>
    </row>
    <row r="58" spans="1:7" ht="12.75">
      <c r="A58" s="72"/>
      <c r="B58" s="72"/>
      <c r="C58" s="72"/>
      <c r="D58" s="72"/>
      <c r="E58" s="76"/>
      <c r="F58" s="72"/>
      <c r="G58" s="72"/>
    </row>
    <row r="59" spans="1:7" ht="12.75">
      <c r="A59" s="72"/>
      <c r="B59" s="72"/>
      <c r="C59" s="72"/>
      <c r="D59" s="72"/>
      <c r="E59" s="76"/>
      <c r="F59" s="72"/>
      <c r="G59" s="72"/>
    </row>
    <row r="60" spans="1:7" ht="12.75">
      <c r="A60" s="72"/>
      <c r="B60" s="72"/>
      <c r="C60" s="72"/>
      <c r="D60" s="72"/>
      <c r="E60" s="76"/>
      <c r="F60" s="72"/>
      <c r="G60" s="72"/>
    </row>
    <row r="61" spans="1:7" ht="12.75">
      <c r="A61" s="72"/>
      <c r="B61" s="72"/>
      <c r="C61" s="72"/>
      <c r="D61" s="72"/>
      <c r="E61" s="76"/>
      <c r="F61" s="72"/>
      <c r="G61" s="72"/>
    </row>
    <row r="62" spans="1:7" ht="12.75">
      <c r="A62" s="72"/>
      <c r="B62" s="72"/>
      <c r="C62" s="72"/>
      <c r="D62" s="72"/>
      <c r="E62" s="76"/>
      <c r="F62" s="72"/>
      <c r="G62" s="72"/>
    </row>
    <row r="63" spans="1:7" ht="12.75">
      <c r="A63" s="72"/>
      <c r="B63" s="72"/>
      <c r="C63" s="72"/>
      <c r="D63" s="72"/>
      <c r="E63" s="76"/>
      <c r="F63" s="72"/>
      <c r="G63" s="72"/>
    </row>
    <row r="64" spans="1:7" ht="12.75">
      <c r="A64" s="72"/>
      <c r="B64" s="72"/>
      <c r="C64" s="72"/>
      <c r="D64" s="72"/>
      <c r="E64" s="76"/>
      <c r="F64" s="72"/>
      <c r="G64" s="72"/>
    </row>
    <row r="65" spans="1:7" ht="12.75">
      <c r="A65" s="72"/>
      <c r="B65" s="72"/>
      <c r="C65" s="72"/>
      <c r="D65" s="72"/>
      <c r="E65" s="76"/>
      <c r="F65" s="72"/>
      <c r="G65" s="72"/>
    </row>
    <row r="66" spans="1:7" ht="12.75">
      <c r="A66" s="72"/>
      <c r="B66" s="72"/>
      <c r="C66" s="72"/>
      <c r="D66" s="72"/>
      <c r="E66" s="76"/>
      <c r="F66" s="72"/>
      <c r="G66" s="72"/>
    </row>
    <row r="67" spans="6:7" ht="12.75">
      <c r="F67" s="72"/>
      <c r="G67" s="72"/>
    </row>
    <row r="68" spans="6:7" ht="12.75">
      <c r="F68" s="72"/>
      <c r="G68" s="72"/>
    </row>
    <row r="69" spans="6:7" ht="12.75">
      <c r="F69" s="72"/>
      <c r="G69" s="72"/>
    </row>
  </sheetData>
  <mergeCells count="4">
    <mergeCell ref="A1:G1"/>
    <mergeCell ref="A3:B3"/>
    <mergeCell ref="A4:B4"/>
    <mergeCell ref="E4:G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tabSelected="1" view="pageBreakPreview" zoomScaleSheetLayoutView="100" workbookViewId="0" topLeftCell="A1">
      <selection activeCell="E104" sqref="E104"/>
    </sheetView>
  </sheetViews>
  <sheetFormatPr defaultColWidth="9.33203125" defaultRowHeight="12.75"/>
  <cols>
    <col min="1" max="1" width="5.16015625" style="1" customWidth="1"/>
    <col min="2" max="2" width="13.16015625" style="1" customWidth="1"/>
    <col min="3" max="3" width="82.66015625" style="1" bestFit="1" customWidth="1"/>
    <col min="4" max="4" width="5" style="1" bestFit="1" customWidth="1"/>
    <col min="5" max="5" width="10.16015625" style="221" bestFit="1" customWidth="1"/>
    <col min="6" max="6" width="10.83203125" style="1" customWidth="1"/>
    <col min="7" max="7" width="12" style="1" bestFit="1" customWidth="1"/>
    <col min="8" max="8" width="8.5" style="1" customWidth="1"/>
    <col min="9" max="9" width="11.66015625" style="1" bestFit="1" customWidth="1"/>
    <col min="10" max="10" width="26.5" style="1" bestFit="1" customWidth="1"/>
    <col min="11" max="11" width="22.16015625" style="1" bestFit="1" customWidth="1"/>
    <col min="12" max="16384" width="9.33203125" style="1" customWidth="1"/>
  </cols>
  <sheetData>
    <row r="1" spans="1:7" ht="15.75">
      <c r="A1" s="247" t="s">
        <v>2</v>
      </c>
      <c r="B1" s="247"/>
      <c r="C1" s="247"/>
      <c r="D1" s="247"/>
      <c r="E1" s="247"/>
      <c r="F1" s="247"/>
      <c r="G1" s="247"/>
    </row>
    <row r="2" spans="1:7" ht="14.25" customHeight="1" thickBot="1">
      <c r="A2" s="2"/>
      <c r="B2" s="3"/>
      <c r="C2" s="4"/>
      <c r="D2" s="4"/>
      <c r="E2" s="207"/>
      <c r="F2" s="4"/>
      <c r="G2" s="4"/>
    </row>
    <row r="3" spans="1:7" ht="13.5" thickTop="1">
      <c r="A3" s="248" t="s">
        <v>3</v>
      </c>
      <c r="B3" s="249"/>
      <c r="C3" s="6" t="s">
        <v>44</v>
      </c>
      <c r="D3" s="7"/>
      <c r="E3" s="208" t="s">
        <v>4</v>
      </c>
      <c r="F3" s="9">
        <v>44470</v>
      </c>
      <c r="G3" s="10"/>
    </row>
    <row r="4" spans="1:7" ht="13.5" thickBot="1">
      <c r="A4" s="250" t="s">
        <v>5</v>
      </c>
      <c r="B4" s="251"/>
      <c r="C4" s="11" t="s">
        <v>45</v>
      </c>
      <c r="D4" s="12"/>
      <c r="E4" s="252"/>
      <c r="F4" s="253"/>
      <c r="G4" s="254"/>
    </row>
    <row r="5" spans="1:11" ht="13.5" thickTop="1">
      <c r="A5" s="13"/>
      <c r="B5" s="14"/>
      <c r="C5" s="15"/>
      <c r="D5" s="16"/>
      <c r="E5" s="209"/>
      <c r="F5" s="18"/>
      <c r="G5" s="18"/>
      <c r="H5" s="19"/>
      <c r="I5" s="19"/>
      <c r="J5" s="19"/>
      <c r="K5" s="19"/>
    </row>
    <row r="6" spans="1:11" ht="12.75">
      <c r="A6" s="20"/>
      <c r="B6" s="2"/>
      <c r="C6" s="2"/>
      <c r="D6" s="21"/>
      <c r="E6" s="210"/>
      <c r="F6" s="21"/>
      <c r="G6" s="21"/>
      <c r="H6" s="19"/>
      <c r="I6" s="19"/>
      <c r="J6" s="19"/>
      <c r="K6" s="19"/>
    </row>
    <row r="7" spans="1:9" ht="25.5">
      <c r="A7" s="23" t="s">
        <v>6</v>
      </c>
      <c r="B7" s="24" t="s">
        <v>7</v>
      </c>
      <c r="C7" s="24" t="s">
        <v>8</v>
      </c>
      <c r="D7" s="24" t="s">
        <v>9</v>
      </c>
      <c r="E7" s="211" t="s">
        <v>10</v>
      </c>
      <c r="F7" s="24" t="s">
        <v>11</v>
      </c>
      <c r="G7" s="26" t="s">
        <v>12</v>
      </c>
      <c r="H7" s="27" t="s">
        <v>13</v>
      </c>
      <c r="I7" s="27" t="s">
        <v>14</v>
      </c>
    </row>
    <row r="8" spans="1:9" ht="18" customHeight="1">
      <c r="A8" s="87"/>
      <c r="B8" s="88" t="s">
        <v>15</v>
      </c>
      <c r="C8" s="89" t="s">
        <v>16</v>
      </c>
      <c r="D8" s="28"/>
      <c r="E8" s="212"/>
      <c r="F8" s="29"/>
      <c r="G8" s="90">
        <f>SUM(G9:G14)</f>
        <v>0</v>
      </c>
      <c r="H8" s="91"/>
      <c r="I8" s="92"/>
    </row>
    <row r="9" spans="1:9" s="19" customFormat="1" ht="12.75">
      <c r="A9" s="30"/>
      <c r="B9" s="31"/>
      <c r="C9" s="32" t="s">
        <v>84</v>
      </c>
      <c r="D9" s="33" t="s">
        <v>18</v>
      </c>
      <c r="E9" s="34">
        <v>1</v>
      </c>
      <c r="F9" s="35"/>
      <c r="G9" s="36">
        <f aca="true" t="shared" si="0" ref="G9:G14">E9*F9</f>
        <v>0</v>
      </c>
      <c r="H9" s="37"/>
      <c r="I9" s="38"/>
    </row>
    <row r="10" spans="1:9" s="19" customFormat="1" ht="12.75">
      <c r="A10" s="30"/>
      <c r="B10" s="31"/>
      <c r="C10" s="32" t="s">
        <v>19</v>
      </c>
      <c r="D10" s="33" t="s">
        <v>18</v>
      </c>
      <c r="E10" s="34">
        <v>1</v>
      </c>
      <c r="F10" s="35"/>
      <c r="G10" s="36">
        <f t="shared" si="0"/>
        <v>0</v>
      </c>
      <c r="H10" s="37"/>
      <c r="I10" s="37"/>
    </row>
    <row r="11" spans="1:9" s="19" customFormat="1" ht="12.75">
      <c r="A11" s="30"/>
      <c r="B11" s="31"/>
      <c r="C11" s="32" t="s">
        <v>85</v>
      </c>
      <c r="D11" s="33" t="s">
        <v>18</v>
      </c>
      <c r="E11" s="34">
        <v>1</v>
      </c>
      <c r="F11" s="35"/>
      <c r="G11" s="36">
        <f t="shared" si="0"/>
        <v>0</v>
      </c>
      <c r="H11" s="37"/>
      <c r="I11" s="37"/>
    </row>
    <row r="12" spans="1:9" s="19" customFormat="1" ht="12.75">
      <c r="A12" s="30"/>
      <c r="B12" s="31"/>
      <c r="C12" s="32" t="s">
        <v>41</v>
      </c>
      <c r="D12" s="33" t="s">
        <v>18</v>
      </c>
      <c r="E12" s="34">
        <v>1</v>
      </c>
      <c r="F12" s="35"/>
      <c r="G12" s="36">
        <f t="shared" si="0"/>
        <v>0</v>
      </c>
      <c r="H12" s="37"/>
      <c r="I12" s="37"/>
    </row>
    <row r="13" spans="1:9" s="19" customFormat="1" ht="12.75">
      <c r="A13" s="30"/>
      <c r="B13" s="31"/>
      <c r="C13" s="32" t="s">
        <v>246</v>
      </c>
      <c r="D13" s="33" t="s">
        <v>18</v>
      </c>
      <c r="E13" s="34">
        <v>1</v>
      </c>
      <c r="F13" s="35"/>
      <c r="G13" s="36">
        <f t="shared" si="0"/>
        <v>0</v>
      </c>
      <c r="H13" s="37"/>
      <c r="I13" s="37"/>
    </row>
    <row r="14" spans="1:11" s="19" customFormat="1" ht="12.75">
      <c r="A14" s="30"/>
      <c r="B14" s="31"/>
      <c r="C14" s="39" t="s">
        <v>20</v>
      </c>
      <c r="D14" s="40" t="s">
        <v>18</v>
      </c>
      <c r="E14" s="41">
        <v>1</v>
      </c>
      <c r="F14" s="42"/>
      <c r="G14" s="43">
        <f t="shared" si="0"/>
        <v>0</v>
      </c>
      <c r="H14" s="37"/>
      <c r="I14" s="37"/>
      <c r="J14" s="127"/>
      <c r="K14" s="127"/>
    </row>
    <row r="15" spans="1:11" s="19" customFormat="1" ht="12.75">
      <c r="A15" s="93"/>
      <c r="B15" s="44"/>
      <c r="C15" s="94"/>
      <c r="D15" s="95"/>
      <c r="E15" s="96"/>
      <c r="F15" s="97"/>
      <c r="G15" s="58"/>
      <c r="H15" s="98"/>
      <c r="I15" s="99"/>
      <c r="J15" s="86"/>
      <c r="K15" s="127"/>
    </row>
    <row r="16" spans="1:11" s="19" customFormat="1" ht="12.75">
      <c r="A16" s="79"/>
      <c r="B16" s="100" t="s">
        <v>21</v>
      </c>
      <c r="C16" s="101" t="s">
        <v>22</v>
      </c>
      <c r="D16" s="102"/>
      <c r="E16" s="85"/>
      <c r="F16" s="60"/>
      <c r="G16" s="61">
        <f>SUM(G17:G40)</f>
        <v>0</v>
      </c>
      <c r="H16" s="104"/>
      <c r="I16" s="108">
        <f>SUM(I17:I40)</f>
        <v>0.44684</v>
      </c>
      <c r="J16" s="86"/>
      <c r="K16" s="127"/>
    </row>
    <row r="17" spans="1:10" s="198" customFormat="1" ht="12.75">
      <c r="A17" s="30"/>
      <c r="B17" s="190" t="s">
        <v>113</v>
      </c>
      <c r="C17" s="39" t="s">
        <v>114</v>
      </c>
      <c r="D17" s="30" t="s">
        <v>0</v>
      </c>
      <c r="E17" s="213">
        <f>20*4+6*2+6*2</f>
        <v>104</v>
      </c>
      <c r="F17" s="47"/>
      <c r="G17" s="47">
        <f aca="true" t="shared" si="1" ref="G17:G40">F17*E17</f>
        <v>0</v>
      </c>
      <c r="H17" s="46">
        <v>0</v>
      </c>
      <c r="I17" s="48">
        <f aca="true" t="shared" si="2" ref="I17:I40">H17*E17</f>
        <v>0</v>
      </c>
      <c r="J17" s="136"/>
    </row>
    <row r="18" spans="1:10" s="198" customFormat="1" ht="12.75">
      <c r="A18" s="30"/>
      <c r="B18" s="190" t="s">
        <v>115</v>
      </c>
      <c r="C18" s="39" t="s">
        <v>116</v>
      </c>
      <c r="D18" s="30" t="s">
        <v>0</v>
      </c>
      <c r="E18" s="213">
        <f>E17</f>
        <v>104</v>
      </c>
      <c r="F18" s="47"/>
      <c r="G18" s="47">
        <f t="shared" si="1"/>
        <v>0</v>
      </c>
      <c r="H18" s="46">
        <v>0</v>
      </c>
      <c r="I18" s="48">
        <f t="shared" si="2"/>
        <v>0</v>
      </c>
      <c r="J18" s="136"/>
    </row>
    <row r="19" spans="1:10" s="198" customFormat="1" ht="12.75" customHeight="1">
      <c r="A19" s="30"/>
      <c r="B19" s="190" t="s">
        <v>117</v>
      </c>
      <c r="C19" s="39" t="s">
        <v>118</v>
      </c>
      <c r="D19" s="30" t="s">
        <v>0</v>
      </c>
      <c r="E19" s="213">
        <f>E18</f>
        <v>104</v>
      </c>
      <c r="F19" s="47"/>
      <c r="G19" s="47">
        <f t="shared" si="1"/>
        <v>0</v>
      </c>
      <c r="H19" s="46">
        <v>0</v>
      </c>
      <c r="I19" s="48">
        <f t="shared" si="2"/>
        <v>0</v>
      </c>
      <c r="J19" s="136"/>
    </row>
    <row r="20" spans="1:10" s="198" customFormat="1" ht="12.75">
      <c r="A20" s="30"/>
      <c r="B20" s="190" t="s">
        <v>119</v>
      </c>
      <c r="C20" s="39" t="s">
        <v>120</v>
      </c>
      <c r="D20" s="30" t="s">
        <v>29</v>
      </c>
      <c r="E20" s="213">
        <v>1</v>
      </c>
      <c r="F20" s="47"/>
      <c r="G20" s="47">
        <f t="shared" si="1"/>
        <v>0</v>
      </c>
      <c r="H20" s="46">
        <v>0</v>
      </c>
      <c r="I20" s="48">
        <f t="shared" si="2"/>
        <v>0</v>
      </c>
      <c r="J20" s="136"/>
    </row>
    <row r="21" spans="1:10" s="198" customFormat="1" ht="12.75">
      <c r="A21" s="30"/>
      <c r="B21" s="190" t="s">
        <v>121</v>
      </c>
      <c r="C21" s="39" t="s">
        <v>122</v>
      </c>
      <c r="D21" s="30" t="s">
        <v>29</v>
      </c>
      <c r="E21" s="213">
        <v>1</v>
      </c>
      <c r="F21" s="47"/>
      <c r="G21" s="47">
        <f t="shared" si="1"/>
        <v>0</v>
      </c>
      <c r="H21" s="46">
        <v>0</v>
      </c>
      <c r="I21" s="48">
        <f t="shared" si="2"/>
        <v>0</v>
      </c>
      <c r="J21" s="136"/>
    </row>
    <row r="22" spans="1:10" s="198" customFormat="1" ht="12.75">
      <c r="A22" s="30"/>
      <c r="B22" s="190" t="s">
        <v>123</v>
      </c>
      <c r="C22" s="39" t="s">
        <v>124</v>
      </c>
      <c r="D22" s="30" t="s">
        <v>29</v>
      </c>
      <c r="E22" s="213">
        <f>E20</f>
        <v>1</v>
      </c>
      <c r="F22" s="47"/>
      <c r="G22" s="47">
        <f t="shared" si="1"/>
        <v>0</v>
      </c>
      <c r="H22" s="46">
        <v>0</v>
      </c>
      <c r="I22" s="48">
        <f t="shared" si="2"/>
        <v>0</v>
      </c>
      <c r="J22" s="136"/>
    </row>
    <row r="23" spans="1:10" s="198" customFormat="1" ht="12.75">
      <c r="A23" s="30"/>
      <c r="B23" s="190" t="s">
        <v>73</v>
      </c>
      <c r="C23" s="39" t="s">
        <v>72</v>
      </c>
      <c r="D23" s="30" t="s">
        <v>1</v>
      </c>
      <c r="E23" s="213">
        <v>12</v>
      </c>
      <c r="F23" s="47"/>
      <c r="G23" s="47">
        <f t="shared" si="1"/>
        <v>0</v>
      </c>
      <c r="H23" s="46">
        <v>0.02193</v>
      </c>
      <c r="I23" s="48">
        <f t="shared" si="2"/>
        <v>0.26316</v>
      </c>
      <c r="J23" s="136"/>
    </row>
    <row r="24" spans="1:10" s="198" customFormat="1" ht="12.75">
      <c r="A24" s="30"/>
      <c r="B24" s="190" t="s">
        <v>75</v>
      </c>
      <c r="C24" s="39" t="s">
        <v>74</v>
      </c>
      <c r="D24" s="30" t="s">
        <v>76</v>
      </c>
      <c r="E24" s="213">
        <f>12*60</f>
        <v>720</v>
      </c>
      <c r="F24" s="47"/>
      <c r="G24" s="47">
        <f t="shared" si="1"/>
        <v>0</v>
      </c>
      <c r="H24" s="46">
        <v>3E-05</v>
      </c>
      <c r="I24" s="48">
        <f t="shared" si="2"/>
        <v>0.0216</v>
      </c>
      <c r="J24" s="136"/>
    </row>
    <row r="25" spans="1:10" s="198" customFormat="1" ht="12.75">
      <c r="A25" s="30"/>
      <c r="B25" s="190" t="s">
        <v>77</v>
      </c>
      <c r="C25" s="39" t="s">
        <v>125</v>
      </c>
      <c r="D25" s="30" t="s">
        <v>78</v>
      </c>
      <c r="E25" s="213">
        <v>60</v>
      </c>
      <c r="F25" s="47"/>
      <c r="G25" s="47">
        <f t="shared" si="1"/>
        <v>0</v>
      </c>
      <c r="H25" s="46">
        <v>0</v>
      </c>
      <c r="I25" s="48">
        <f t="shared" si="2"/>
        <v>0</v>
      </c>
      <c r="J25" s="136"/>
    </row>
    <row r="26" spans="1:10" s="198" customFormat="1" ht="25.5">
      <c r="A26" s="30"/>
      <c r="B26" s="190" t="s">
        <v>126</v>
      </c>
      <c r="C26" s="39" t="s">
        <v>127</v>
      </c>
      <c r="D26" s="30" t="s">
        <v>1</v>
      </c>
      <c r="E26" s="231">
        <v>15</v>
      </c>
      <c r="F26" s="47"/>
      <c r="G26" s="47">
        <f t="shared" si="1"/>
        <v>0</v>
      </c>
      <c r="H26" s="46">
        <v>0.00868</v>
      </c>
      <c r="I26" s="48">
        <f t="shared" si="2"/>
        <v>0.1302</v>
      </c>
      <c r="J26" s="136"/>
    </row>
    <row r="27" spans="1:10" s="198" customFormat="1" ht="25.5">
      <c r="A27" s="30"/>
      <c r="B27" s="190" t="s">
        <v>128</v>
      </c>
      <c r="C27" s="39" t="s">
        <v>129</v>
      </c>
      <c r="D27" s="30" t="s">
        <v>1</v>
      </c>
      <c r="E27" s="231">
        <v>15</v>
      </c>
      <c r="F27" s="47"/>
      <c r="G27" s="47">
        <f t="shared" si="1"/>
        <v>0</v>
      </c>
      <c r="H27" s="46"/>
      <c r="I27" s="48">
        <f t="shared" si="2"/>
        <v>0</v>
      </c>
      <c r="J27" s="136"/>
    </row>
    <row r="28" spans="1:10" s="198" customFormat="1" ht="12.75">
      <c r="A28" s="30"/>
      <c r="B28" s="190" t="s">
        <v>130</v>
      </c>
      <c r="C28" s="39" t="s">
        <v>131</v>
      </c>
      <c r="D28" s="30" t="s">
        <v>1</v>
      </c>
      <c r="E28" s="231">
        <f>2*5*3*2</f>
        <v>60</v>
      </c>
      <c r="F28" s="47"/>
      <c r="G28" s="47">
        <f t="shared" si="1"/>
        <v>0</v>
      </c>
      <c r="H28" s="46">
        <v>0.00015</v>
      </c>
      <c r="I28" s="48">
        <f t="shared" si="2"/>
        <v>0.009</v>
      </c>
      <c r="J28" s="136"/>
    </row>
    <row r="29" spans="1:10" s="198" customFormat="1" ht="25.5">
      <c r="A29" s="30"/>
      <c r="B29" s="190" t="s">
        <v>132</v>
      </c>
      <c r="C29" s="39" t="s">
        <v>133</v>
      </c>
      <c r="D29" s="30" t="s">
        <v>1</v>
      </c>
      <c r="E29" s="245">
        <f>E28</f>
        <v>60</v>
      </c>
      <c r="F29" s="47"/>
      <c r="G29" s="47">
        <f t="shared" si="1"/>
        <v>0</v>
      </c>
      <c r="H29" s="46">
        <v>0</v>
      </c>
      <c r="I29" s="48">
        <f t="shared" si="2"/>
        <v>0</v>
      </c>
      <c r="J29" s="136"/>
    </row>
    <row r="30" spans="1:10" s="198" customFormat="1" ht="12.75">
      <c r="A30" s="30"/>
      <c r="B30" s="190" t="s">
        <v>134</v>
      </c>
      <c r="C30" s="39" t="s">
        <v>135</v>
      </c>
      <c r="D30" s="30" t="s">
        <v>1</v>
      </c>
      <c r="E30" s="245">
        <v>4</v>
      </c>
      <c r="F30" s="47"/>
      <c r="G30" s="47">
        <f t="shared" si="1"/>
        <v>0</v>
      </c>
      <c r="H30" s="46">
        <v>0.00047</v>
      </c>
      <c r="I30" s="48">
        <f t="shared" si="2"/>
        <v>0.00188</v>
      </c>
      <c r="J30" s="136"/>
    </row>
    <row r="31" spans="1:10" s="198" customFormat="1" ht="12.75">
      <c r="A31" s="30"/>
      <c r="B31" s="190" t="s">
        <v>136</v>
      </c>
      <c r="C31" s="39" t="s">
        <v>137</v>
      </c>
      <c r="D31" s="30" t="s">
        <v>1</v>
      </c>
      <c r="E31" s="245">
        <v>4</v>
      </c>
      <c r="F31" s="47"/>
      <c r="G31" s="47">
        <f t="shared" si="1"/>
        <v>0</v>
      </c>
      <c r="H31" s="46">
        <v>0</v>
      </c>
      <c r="I31" s="48">
        <f t="shared" si="2"/>
        <v>0</v>
      </c>
      <c r="J31" s="136"/>
    </row>
    <row r="32" spans="1:11" s="198" customFormat="1" ht="12.75">
      <c r="A32" s="30"/>
      <c r="B32" s="190" t="s">
        <v>87</v>
      </c>
      <c r="C32" s="191" t="s">
        <v>88</v>
      </c>
      <c r="D32" s="30" t="s">
        <v>23</v>
      </c>
      <c r="E32" s="181">
        <f>(4.6*2*2.2+4.6*4.5*4.2*0.5+0.33*4.6*4.6*2*4.5)*2</f>
        <v>253.11039999999997</v>
      </c>
      <c r="F32" s="47"/>
      <c r="G32" s="47">
        <f t="shared" si="1"/>
        <v>0</v>
      </c>
      <c r="H32" s="46">
        <v>0</v>
      </c>
      <c r="I32" s="48">
        <f t="shared" si="2"/>
        <v>0</v>
      </c>
      <c r="J32" s="135"/>
      <c r="K32" s="135"/>
    </row>
    <row r="33" spans="1:9" s="198" customFormat="1" ht="12.75">
      <c r="A33" s="30"/>
      <c r="B33" s="192" t="s">
        <v>89</v>
      </c>
      <c r="C33" s="192" t="s">
        <v>90</v>
      </c>
      <c r="D33" s="53" t="s">
        <v>23</v>
      </c>
      <c r="E33" s="181">
        <f>E32*0.3</f>
        <v>75.93311999999999</v>
      </c>
      <c r="F33" s="55"/>
      <c r="G33" s="47">
        <f t="shared" si="1"/>
        <v>0</v>
      </c>
      <c r="H33" s="46">
        <v>0</v>
      </c>
      <c r="I33" s="48">
        <f t="shared" si="2"/>
        <v>0</v>
      </c>
    </row>
    <row r="34" spans="1:9" s="198" customFormat="1" ht="12.75">
      <c r="A34" s="30"/>
      <c r="B34" s="192" t="s">
        <v>138</v>
      </c>
      <c r="C34" s="192" t="s">
        <v>139</v>
      </c>
      <c r="D34" s="53" t="s">
        <v>0</v>
      </c>
      <c r="E34" s="232">
        <f>1*5*3*2</f>
        <v>30</v>
      </c>
      <c r="F34" s="55"/>
      <c r="G34" s="47">
        <f t="shared" si="1"/>
        <v>0</v>
      </c>
      <c r="H34" s="46">
        <v>0.0007</v>
      </c>
      <c r="I34" s="48">
        <f t="shared" si="2"/>
        <v>0.021</v>
      </c>
    </row>
    <row r="35" spans="1:9" s="198" customFormat="1" ht="12.75">
      <c r="A35" s="30"/>
      <c r="B35" s="192" t="s">
        <v>140</v>
      </c>
      <c r="C35" s="192" t="s">
        <v>141</v>
      </c>
      <c r="D35" s="53" t="s">
        <v>0</v>
      </c>
      <c r="E35" s="232">
        <f>E34</f>
        <v>30</v>
      </c>
      <c r="F35" s="55"/>
      <c r="G35" s="47">
        <f t="shared" si="1"/>
        <v>0</v>
      </c>
      <c r="H35" s="46"/>
      <c r="I35" s="48">
        <f t="shared" si="2"/>
        <v>0</v>
      </c>
    </row>
    <row r="36" spans="2:9" s="233" customFormat="1" ht="12.75">
      <c r="B36" s="193" t="s">
        <v>91</v>
      </c>
      <c r="C36" s="194" t="s">
        <v>92</v>
      </c>
      <c r="D36" s="40" t="s">
        <v>23</v>
      </c>
      <c r="E36" s="180">
        <f>E32</f>
        <v>253.11039999999997</v>
      </c>
      <c r="F36" s="42"/>
      <c r="G36" s="47">
        <f t="shared" si="1"/>
        <v>0</v>
      </c>
      <c r="H36" s="46">
        <v>0</v>
      </c>
      <c r="I36" s="48">
        <f t="shared" si="2"/>
        <v>0</v>
      </c>
    </row>
    <row r="37" spans="1:9" s="198" customFormat="1" ht="12.75">
      <c r="A37" s="30"/>
      <c r="B37" s="193" t="s">
        <v>142</v>
      </c>
      <c r="C37" s="194" t="s">
        <v>143</v>
      </c>
      <c r="D37" s="40" t="s">
        <v>23</v>
      </c>
      <c r="E37" s="180">
        <f>E36</f>
        <v>253.11039999999997</v>
      </c>
      <c r="F37" s="42"/>
      <c r="G37" s="47">
        <f t="shared" si="1"/>
        <v>0</v>
      </c>
      <c r="H37" s="46">
        <v>0</v>
      </c>
      <c r="I37" s="48">
        <f t="shared" si="2"/>
        <v>0</v>
      </c>
    </row>
    <row r="38" spans="1:9" s="198" customFormat="1" ht="12.75">
      <c r="A38" s="30"/>
      <c r="B38" s="193" t="s">
        <v>93</v>
      </c>
      <c r="C38" s="194" t="s">
        <v>94</v>
      </c>
      <c r="D38" s="40" t="s">
        <v>23</v>
      </c>
      <c r="E38" s="180">
        <f>E36</f>
        <v>253.11039999999997</v>
      </c>
      <c r="F38" s="42"/>
      <c r="G38" s="47">
        <f t="shared" si="1"/>
        <v>0</v>
      </c>
      <c r="H38" s="46">
        <v>0</v>
      </c>
      <c r="I38" s="48">
        <f t="shared" si="2"/>
        <v>0</v>
      </c>
    </row>
    <row r="39" spans="1:9" s="198" customFormat="1" ht="12.75">
      <c r="A39" s="30"/>
      <c r="B39" s="193" t="s">
        <v>95</v>
      </c>
      <c r="C39" s="194" t="s">
        <v>96</v>
      </c>
      <c r="D39" s="40" t="s">
        <v>24</v>
      </c>
      <c r="E39" s="180">
        <f>E38*1.8</f>
        <v>455.59871999999996</v>
      </c>
      <c r="F39" s="42"/>
      <c r="G39" s="47">
        <f t="shared" si="1"/>
        <v>0</v>
      </c>
      <c r="H39" s="46">
        <v>0</v>
      </c>
      <c r="I39" s="48">
        <f t="shared" si="2"/>
        <v>0</v>
      </c>
    </row>
    <row r="40" spans="1:10" s="198" customFormat="1" ht="12.75">
      <c r="A40" s="93"/>
      <c r="B40" s="193" t="s">
        <v>144</v>
      </c>
      <c r="C40" s="194" t="s">
        <v>145</v>
      </c>
      <c r="D40" s="40" t="s">
        <v>23</v>
      </c>
      <c r="E40" s="213">
        <f>E32-3*4*2*0.5</f>
        <v>241.11039999999997</v>
      </c>
      <c r="F40" s="42"/>
      <c r="G40" s="47">
        <f t="shared" si="1"/>
        <v>0</v>
      </c>
      <c r="H40" s="46">
        <v>0</v>
      </c>
      <c r="I40" s="48">
        <f t="shared" si="2"/>
        <v>0</v>
      </c>
      <c r="J40" s="139"/>
    </row>
    <row r="41" spans="1:8" s="198" customFormat="1" ht="12.75">
      <c r="A41" s="93"/>
      <c r="B41" s="80"/>
      <c r="C41" s="106"/>
      <c r="D41" s="56"/>
      <c r="E41" s="120"/>
      <c r="F41" s="57"/>
      <c r="G41" s="58"/>
      <c r="H41" s="98"/>
    </row>
    <row r="42" spans="1:10" s="198" customFormat="1" ht="12.75">
      <c r="A42" s="79"/>
      <c r="B42" s="234">
        <v>2</v>
      </c>
      <c r="C42" s="166" t="s">
        <v>40</v>
      </c>
      <c r="D42" s="50"/>
      <c r="E42" s="214"/>
      <c r="F42" s="51"/>
      <c r="G42" s="52">
        <f>SUM(G43:G52)</f>
        <v>0</v>
      </c>
      <c r="H42" s="123"/>
      <c r="I42" s="108">
        <f>SUM(I43:I52)</f>
        <v>51.0002450238</v>
      </c>
      <c r="J42" s="135"/>
    </row>
    <row r="43" spans="1:10" s="198" customFormat="1" ht="12.75">
      <c r="A43" s="93"/>
      <c r="B43" s="137" t="s">
        <v>146</v>
      </c>
      <c r="C43" s="137" t="s">
        <v>147</v>
      </c>
      <c r="D43" s="137" t="s">
        <v>1</v>
      </c>
      <c r="E43" s="235">
        <f>2*9*3</f>
        <v>54</v>
      </c>
      <c r="F43" s="236"/>
      <c r="G43" s="43">
        <f aca="true" t="shared" si="3" ref="G43:G48">F43*E43</f>
        <v>0</v>
      </c>
      <c r="H43" s="137">
        <v>0.00066</v>
      </c>
      <c r="I43" s="48">
        <f aca="true" t="shared" si="4" ref="I43:I48">H43*E43</f>
        <v>0.03564</v>
      </c>
      <c r="J43" s="135"/>
    </row>
    <row r="44" spans="1:10" s="198" customFormat="1" ht="12.75">
      <c r="A44" s="93"/>
      <c r="B44" s="137" t="s">
        <v>82</v>
      </c>
      <c r="C44" s="137" t="s">
        <v>148</v>
      </c>
      <c r="D44" s="137" t="s">
        <v>1</v>
      </c>
      <c r="E44" s="235">
        <f>2*9*2.5</f>
        <v>45</v>
      </c>
      <c r="F44" s="236"/>
      <c r="G44" s="43">
        <f t="shared" si="3"/>
        <v>0</v>
      </c>
      <c r="H44" s="137">
        <v>0.03701</v>
      </c>
      <c r="I44" s="48">
        <f t="shared" si="4"/>
        <v>1.66545</v>
      </c>
      <c r="J44" s="135"/>
    </row>
    <row r="45" spans="1:10" s="198" customFormat="1" ht="12.75">
      <c r="A45" s="93"/>
      <c r="B45" s="137" t="s">
        <v>83</v>
      </c>
      <c r="C45" s="137" t="s">
        <v>149</v>
      </c>
      <c r="D45" s="137" t="s">
        <v>1</v>
      </c>
      <c r="E45" s="235">
        <f>2*9*1</f>
        <v>18</v>
      </c>
      <c r="F45" s="236"/>
      <c r="G45" s="43">
        <f t="shared" si="3"/>
        <v>0</v>
      </c>
      <c r="H45" s="137">
        <v>0.03701</v>
      </c>
      <c r="I45" s="48">
        <f t="shared" si="4"/>
        <v>0.66618</v>
      </c>
      <c r="J45" s="135"/>
    </row>
    <row r="46" spans="1:10" s="198" customFormat="1" ht="12.75">
      <c r="A46" s="93"/>
      <c r="B46" s="137" t="s">
        <v>150</v>
      </c>
      <c r="C46" s="137" t="s">
        <v>151</v>
      </c>
      <c r="D46" s="137" t="s">
        <v>76</v>
      </c>
      <c r="E46" s="235">
        <v>8</v>
      </c>
      <c r="F46" s="236"/>
      <c r="G46" s="43">
        <f t="shared" si="3"/>
        <v>0</v>
      </c>
      <c r="H46" s="137">
        <v>4E-05</v>
      </c>
      <c r="I46" s="48">
        <f t="shared" si="4"/>
        <v>0.00032</v>
      </c>
      <c r="J46" s="135"/>
    </row>
    <row r="47" spans="1:10" s="198" customFormat="1" ht="12.75">
      <c r="A47" s="93"/>
      <c r="B47" s="190" t="s">
        <v>152</v>
      </c>
      <c r="C47" s="137" t="s">
        <v>153</v>
      </c>
      <c r="D47" s="53" t="s">
        <v>29</v>
      </c>
      <c r="E47" s="237">
        <f>2*9</f>
        <v>18</v>
      </c>
      <c r="F47" s="55"/>
      <c r="G47" s="43">
        <f t="shared" si="3"/>
        <v>0</v>
      </c>
      <c r="H47" s="46">
        <v>0.00061</v>
      </c>
      <c r="I47" s="48">
        <f t="shared" si="4"/>
        <v>0.01098</v>
      </c>
      <c r="J47" s="135"/>
    </row>
    <row r="48" spans="1:10" s="198" customFormat="1" ht="12.75">
      <c r="A48" s="93"/>
      <c r="B48" s="190" t="s">
        <v>154</v>
      </c>
      <c r="C48" s="137" t="s">
        <v>155</v>
      </c>
      <c r="D48" s="53" t="s">
        <v>24</v>
      </c>
      <c r="E48" s="237">
        <f>SUM(I43:I47)</f>
        <v>2.37857</v>
      </c>
      <c r="F48" s="55"/>
      <c r="G48" s="43">
        <f t="shared" si="3"/>
        <v>0</v>
      </c>
      <c r="H48" s="46">
        <v>0</v>
      </c>
      <c r="I48" s="48">
        <f t="shared" si="4"/>
        <v>0</v>
      </c>
      <c r="J48" s="135"/>
    </row>
    <row r="49" spans="1:12" s="198" customFormat="1" ht="12.75">
      <c r="A49" s="79"/>
      <c r="B49" s="190" t="s">
        <v>48</v>
      </c>
      <c r="C49" s="137" t="s">
        <v>156</v>
      </c>
      <c r="D49" s="53" t="s">
        <v>23</v>
      </c>
      <c r="E49" s="215">
        <f>4.3*1.9*0.8*2+2.65*1.4*0.5+5.3*1.4*0.5</f>
        <v>18.637</v>
      </c>
      <c r="F49" s="55"/>
      <c r="G49" s="43">
        <f aca="true" t="shared" si="5" ref="G49:G50">F49*E49</f>
        <v>0</v>
      </c>
      <c r="H49" s="46">
        <v>2.52625</v>
      </c>
      <c r="I49" s="48">
        <f aca="true" t="shared" si="6" ref="I49:I50">H49*E49</f>
        <v>47.08172125</v>
      </c>
      <c r="J49" s="138"/>
      <c r="K49" s="138"/>
      <c r="L49" s="138"/>
    </row>
    <row r="50" spans="1:12" s="198" customFormat="1" ht="12.75">
      <c r="A50" s="79"/>
      <c r="B50" s="190" t="s">
        <v>49</v>
      </c>
      <c r="C50" s="137" t="s">
        <v>157</v>
      </c>
      <c r="D50" s="53" t="s">
        <v>0</v>
      </c>
      <c r="E50" s="183">
        <f>4.3*0.8*2+1.9*0.8*2+2.65*0.5*2+1.4*0.5*2+5.3*0.5*2+1.4*0.5*2</f>
        <v>20.669999999999998</v>
      </c>
      <c r="F50" s="55"/>
      <c r="G50" s="43">
        <f t="shared" si="5"/>
        <v>0</v>
      </c>
      <c r="H50" s="46">
        <v>0.00144</v>
      </c>
      <c r="I50" s="48">
        <f t="shared" si="6"/>
        <v>0.029764799999999998</v>
      </c>
      <c r="J50" s="138"/>
      <c r="K50" s="138"/>
      <c r="L50" s="138"/>
    </row>
    <row r="51" spans="1:12" s="198" customFormat="1" ht="12.75">
      <c r="A51" s="30"/>
      <c r="B51" s="190" t="s">
        <v>50</v>
      </c>
      <c r="C51" s="137" t="s">
        <v>158</v>
      </c>
      <c r="D51" s="53" t="s">
        <v>0</v>
      </c>
      <c r="E51" s="183">
        <f>E50</f>
        <v>20.669999999999998</v>
      </c>
      <c r="F51" s="55"/>
      <c r="G51" s="43">
        <f aca="true" t="shared" si="7" ref="G51:G71">F51*E51</f>
        <v>0</v>
      </c>
      <c r="H51" s="46">
        <v>4E-05</v>
      </c>
      <c r="I51" s="48">
        <f aca="true" t="shared" si="8" ref="I51:I71">H51*E51</f>
        <v>0.0008268</v>
      </c>
      <c r="J51" s="138"/>
      <c r="K51" s="138"/>
      <c r="L51" s="138"/>
    </row>
    <row r="52" spans="1:12" s="198" customFormat="1" ht="12.75">
      <c r="A52" s="30"/>
      <c r="B52" s="190" t="s">
        <v>51</v>
      </c>
      <c r="C52" s="137" t="s">
        <v>159</v>
      </c>
      <c r="D52" s="53" t="s">
        <v>24</v>
      </c>
      <c r="E52" s="183">
        <f>E49*0.01*7.8</f>
        <v>1.453686</v>
      </c>
      <c r="F52" s="55"/>
      <c r="G52" s="43">
        <f t="shared" si="7"/>
        <v>0</v>
      </c>
      <c r="H52" s="46">
        <v>1.0383</v>
      </c>
      <c r="I52" s="48">
        <f t="shared" si="8"/>
        <v>1.5093621738</v>
      </c>
      <c r="J52" s="138"/>
      <c r="K52" s="138"/>
      <c r="L52" s="138"/>
    </row>
    <row r="53" spans="1:12" s="198" customFormat="1" ht="12.75">
      <c r="A53" s="93"/>
      <c r="B53" s="80"/>
      <c r="C53" s="106"/>
      <c r="D53" s="56"/>
      <c r="E53" s="158"/>
      <c r="F53" s="57"/>
      <c r="G53" s="58"/>
      <c r="H53" s="109"/>
      <c r="I53" s="124"/>
      <c r="J53" s="138"/>
      <c r="K53" s="138"/>
      <c r="L53" s="138"/>
    </row>
    <row r="54" spans="1:12" s="198" customFormat="1" ht="12.75">
      <c r="A54" s="79"/>
      <c r="B54" s="81" t="s">
        <v>56</v>
      </c>
      <c r="C54" s="83" t="s">
        <v>61</v>
      </c>
      <c r="D54" s="50"/>
      <c r="E54" s="159"/>
      <c r="F54" s="51"/>
      <c r="G54" s="52">
        <f>SUM(G55:G71)</f>
        <v>0</v>
      </c>
      <c r="H54" s="123"/>
      <c r="I54" s="108">
        <f>SUM(I55:I71)</f>
        <v>101.98117713673298</v>
      </c>
      <c r="J54" s="138"/>
      <c r="K54" s="138"/>
      <c r="L54" s="138"/>
    </row>
    <row r="55" spans="1:12" s="198" customFormat="1" ht="12.75">
      <c r="A55" s="30"/>
      <c r="B55" s="238" t="s">
        <v>160</v>
      </c>
      <c r="C55" s="137" t="s">
        <v>161</v>
      </c>
      <c r="D55" s="53" t="s">
        <v>0</v>
      </c>
      <c r="E55" s="181">
        <f>(4.4*2.1*2+2.7*1.4+5.6*1.4)</f>
        <v>30.100000000000005</v>
      </c>
      <c r="F55" s="55"/>
      <c r="G55" s="43">
        <f aca="true" t="shared" si="9" ref="G55">F55*E55</f>
        <v>0</v>
      </c>
      <c r="H55" s="46">
        <v>0.22798</v>
      </c>
      <c r="I55" s="48">
        <f aca="true" t="shared" si="10" ref="I55">H55*E55</f>
        <v>6.862198000000001</v>
      </c>
      <c r="J55" s="135"/>
      <c r="K55" s="138"/>
      <c r="L55" s="138"/>
    </row>
    <row r="56" spans="1:10" s="198" customFormat="1" ht="12.75">
      <c r="A56" s="30"/>
      <c r="B56" s="190" t="s">
        <v>162</v>
      </c>
      <c r="C56" s="137" t="s">
        <v>163</v>
      </c>
      <c r="D56" s="53" t="s">
        <v>23</v>
      </c>
      <c r="E56" s="213">
        <f>4.25*0.6*3.1*2</f>
        <v>15.809999999999999</v>
      </c>
      <c r="F56" s="55"/>
      <c r="G56" s="43">
        <f t="shared" si="7"/>
        <v>0</v>
      </c>
      <c r="H56" s="46">
        <v>2.4778</v>
      </c>
      <c r="I56" s="48">
        <f t="shared" si="8"/>
        <v>39.174018</v>
      </c>
      <c r="J56" s="139"/>
    </row>
    <row r="57" spans="1:10" s="198" customFormat="1" ht="12.75">
      <c r="A57" s="30"/>
      <c r="B57" s="190" t="s">
        <v>52</v>
      </c>
      <c r="C57" s="137" t="s">
        <v>164</v>
      </c>
      <c r="D57" s="53" t="s">
        <v>0</v>
      </c>
      <c r="E57" s="213">
        <f>(4.25*3.1*2+0.6*3.1*2)*2</f>
        <v>60.14</v>
      </c>
      <c r="F57" s="55"/>
      <c r="G57" s="43">
        <f t="shared" si="7"/>
        <v>0</v>
      </c>
      <c r="H57" s="46">
        <v>0.00388</v>
      </c>
      <c r="I57" s="48">
        <f t="shared" si="8"/>
        <v>0.2333432</v>
      </c>
      <c r="J57" s="139"/>
    </row>
    <row r="58" spans="1:10" s="198" customFormat="1" ht="12.75">
      <c r="A58" s="30"/>
      <c r="B58" s="190" t="s">
        <v>165</v>
      </c>
      <c r="C58" s="137" t="s">
        <v>166</v>
      </c>
      <c r="D58" s="53" t="s">
        <v>0</v>
      </c>
      <c r="E58" s="213">
        <f>E57</f>
        <v>60.14</v>
      </c>
      <c r="F58" s="55"/>
      <c r="G58" s="43">
        <f t="shared" si="7"/>
        <v>0</v>
      </c>
      <c r="H58" s="46">
        <v>4E-05</v>
      </c>
      <c r="I58" s="48">
        <f t="shared" si="8"/>
        <v>0.0024056000000000004</v>
      </c>
      <c r="J58" s="139"/>
    </row>
    <row r="59" spans="1:10" s="198" customFormat="1" ht="12.75">
      <c r="A59" s="30"/>
      <c r="B59" s="190" t="s">
        <v>55</v>
      </c>
      <c r="C59" s="137" t="s">
        <v>167</v>
      </c>
      <c r="D59" s="53" t="s">
        <v>24</v>
      </c>
      <c r="E59" s="239">
        <f>E56*0.015*7.8</f>
        <v>1.8497699999999997</v>
      </c>
      <c r="F59" s="55"/>
      <c r="G59" s="43">
        <f aca="true" t="shared" si="11" ref="G59">F59*E59</f>
        <v>0</v>
      </c>
      <c r="H59" s="46">
        <v>1.03845</v>
      </c>
      <c r="I59" s="48">
        <f aca="true" t="shared" si="12" ref="I59">H59*E59</f>
        <v>1.9208936564999999</v>
      </c>
      <c r="J59" s="139"/>
    </row>
    <row r="60" spans="1:10" s="198" customFormat="1" ht="12.75">
      <c r="A60" s="30"/>
      <c r="B60" s="190" t="s">
        <v>168</v>
      </c>
      <c r="C60" s="137" t="s">
        <v>169</v>
      </c>
      <c r="D60" s="53" t="s">
        <v>23</v>
      </c>
      <c r="E60" s="240">
        <f>2.6*0.6*1.3+2.6*0.6*1.7*0.5+5.5*0.6*0.7+5.5*0.6*2.3*0.5+(2.5*0.5*0.4+2.5*1.7*0.4*0.5)*2</f>
        <v>12.158999999999999</v>
      </c>
      <c r="F60" s="55"/>
      <c r="G60" s="43">
        <f t="shared" si="7"/>
        <v>0</v>
      </c>
      <c r="H60" s="46">
        <v>2.4778</v>
      </c>
      <c r="I60" s="48">
        <f t="shared" si="8"/>
        <v>30.127570199999994</v>
      </c>
      <c r="J60" s="139"/>
    </row>
    <row r="61" spans="1:10" s="198" customFormat="1" ht="12.75">
      <c r="A61" s="30"/>
      <c r="B61" s="190" t="s">
        <v>53</v>
      </c>
      <c r="C61" s="137" t="s">
        <v>170</v>
      </c>
      <c r="D61" s="53" t="s">
        <v>0</v>
      </c>
      <c r="E61" s="213">
        <f>2.6*1.3*2+0.6*1.3*2+2.6*1.7*0.5*2+0.6*1.7+5.5*0.7*2+0.6*0.7*2+5.5*2.3*0.5*2+0.6*2.3+2.5*0.5*2+0.5*0.4*2*2+2.5*1.7*0.5*2*2+0.4*1.7*2</f>
        <v>49.49</v>
      </c>
      <c r="F61" s="55"/>
      <c r="G61" s="43">
        <f t="shared" si="7"/>
        <v>0</v>
      </c>
      <c r="H61" s="46">
        <v>0.00374</v>
      </c>
      <c r="I61" s="48">
        <f t="shared" si="8"/>
        <v>0.1850926</v>
      </c>
      <c r="J61" s="139"/>
    </row>
    <row r="62" spans="1:10" s="198" customFormat="1" ht="12.75">
      <c r="A62" s="30"/>
      <c r="B62" s="190" t="s">
        <v>54</v>
      </c>
      <c r="C62" s="137" t="s">
        <v>171</v>
      </c>
      <c r="D62" s="53" t="s">
        <v>0</v>
      </c>
      <c r="E62" s="213">
        <f>E61</f>
        <v>49.49</v>
      </c>
      <c r="F62" s="55"/>
      <c r="G62" s="43">
        <f t="shared" si="7"/>
        <v>0</v>
      </c>
      <c r="H62" s="46">
        <v>4E-05</v>
      </c>
      <c r="I62" s="48">
        <f t="shared" si="8"/>
        <v>0.0019796</v>
      </c>
      <c r="J62" s="139"/>
    </row>
    <row r="63" spans="1:10" s="198" customFormat="1" ht="12.75">
      <c r="A63" s="30"/>
      <c r="B63" s="190" t="s">
        <v>172</v>
      </c>
      <c r="C63" s="137" t="s">
        <v>173</v>
      </c>
      <c r="D63" s="53" t="s">
        <v>24</v>
      </c>
      <c r="E63" s="239">
        <f>E60*0.015*7.8</f>
        <v>1.4226029999999996</v>
      </c>
      <c r="F63" s="55"/>
      <c r="G63" s="43">
        <f t="shared" si="7"/>
        <v>0</v>
      </c>
      <c r="H63" s="46">
        <v>1.07653</v>
      </c>
      <c r="I63" s="48">
        <f t="shared" si="8"/>
        <v>1.5314748075899995</v>
      </c>
      <c r="J63" s="139"/>
    </row>
    <row r="64" spans="1:10" s="198" customFormat="1" ht="12.75">
      <c r="A64" s="30"/>
      <c r="B64" s="190" t="s">
        <v>57</v>
      </c>
      <c r="C64" s="137" t="s">
        <v>174</v>
      </c>
      <c r="D64" s="53" t="s">
        <v>23</v>
      </c>
      <c r="E64" s="213">
        <f>((8.2+8.4)*0.8*0.34-0.15*0.15+0.25*0.25)+(5.7+2.4+2.5+2.4)*(0.4*0.6-0.15*0.15)</f>
        <v>7.382700000000002</v>
      </c>
      <c r="F64" s="55"/>
      <c r="G64" s="43">
        <f t="shared" si="7"/>
        <v>0</v>
      </c>
      <c r="H64" s="46">
        <v>2.47786</v>
      </c>
      <c r="I64" s="48">
        <f t="shared" si="8"/>
        <v>18.293297022000004</v>
      </c>
      <c r="J64" s="139"/>
    </row>
    <row r="65" spans="1:10" s="198" customFormat="1" ht="12.75">
      <c r="A65" s="30"/>
      <c r="B65" s="190" t="s">
        <v>58</v>
      </c>
      <c r="C65" s="137" t="s">
        <v>175</v>
      </c>
      <c r="D65" s="53" t="s">
        <v>0</v>
      </c>
      <c r="E65" s="213">
        <f>(8.2+8.4)*(0.35+0.6)+0.8*0.6*2+(5.7+2.4+2.5+2.4)*(0.4+0.4)+0.4*0.4*4</f>
        <v>27.770000000000003</v>
      </c>
      <c r="F65" s="55"/>
      <c r="G65" s="43">
        <f t="shared" si="7"/>
        <v>0</v>
      </c>
      <c r="H65" s="46">
        <v>0.04174</v>
      </c>
      <c r="I65" s="48">
        <f t="shared" si="8"/>
        <v>1.1591198</v>
      </c>
      <c r="J65" s="139"/>
    </row>
    <row r="66" spans="1:10" s="198" customFormat="1" ht="12.75">
      <c r="A66" s="30"/>
      <c r="B66" s="190" t="s">
        <v>59</v>
      </c>
      <c r="C66" s="137" t="s">
        <v>176</v>
      </c>
      <c r="D66" s="53" t="s">
        <v>0</v>
      </c>
      <c r="E66" s="239">
        <f>E65</f>
        <v>27.770000000000003</v>
      </c>
      <c r="F66" s="55"/>
      <c r="G66" s="43">
        <f t="shared" si="7"/>
        <v>0</v>
      </c>
      <c r="H66" s="46">
        <v>2E-05</v>
      </c>
      <c r="I66" s="48">
        <f t="shared" si="8"/>
        <v>0.0005554000000000001</v>
      </c>
      <c r="J66" s="139"/>
    </row>
    <row r="67" spans="1:10" s="198" customFormat="1" ht="12.75">
      <c r="A67" s="30"/>
      <c r="B67" s="190" t="s">
        <v>60</v>
      </c>
      <c r="C67" s="137" t="s">
        <v>177</v>
      </c>
      <c r="D67" s="53" t="s">
        <v>24</v>
      </c>
      <c r="E67" s="239">
        <f>E64*0.015*7.8</f>
        <v>0.8637759000000002</v>
      </c>
      <c r="F67" s="55"/>
      <c r="G67" s="43">
        <f t="shared" si="7"/>
        <v>0</v>
      </c>
      <c r="H67" s="46">
        <v>1.04877</v>
      </c>
      <c r="I67" s="48">
        <f t="shared" si="8"/>
        <v>0.9059022506430001</v>
      </c>
      <c r="J67" s="139"/>
    </row>
    <row r="68" spans="1:10" s="198" customFormat="1" ht="12.75">
      <c r="A68" s="30"/>
      <c r="B68" s="190" t="s">
        <v>178</v>
      </c>
      <c r="C68" s="137" t="s">
        <v>179</v>
      </c>
      <c r="D68" s="53" t="s">
        <v>1</v>
      </c>
      <c r="E68" s="183">
        <f>(3.7+3.2)+(0.4+0.3)*4</f>
        <v>9.7</v>
      </c>
      <c r="F68" s="55"/>
      <c r="G68" s="43">
        <f t="shared" si="7"/>
        <v>0</v>
      </c>
      <c r="H68" s="46">
        <v>6E-05</v>
      </c>
      <c r="I68" s="48">
        <f t="shared" si="8"/>
        <v>0.0005819999999999999</v>
      </c>
      <c r="J68" s="138"/>
    </row>
    <row r="69" spans="1:10" s="198" customFormat="1" ht="12.75">
      <c r="A69" s="30"/>
      <c r="B69" s="137" t="s">
        <v>71</v>
      </c>
      <c r="C69" s="137" t="s">
        <v>180</v>
      </c>
      <c r="D69" s="143" t="s">
        <v>29</v>
      </c>
      <c r="E69" s="181">
        <f>4+4+2+2</f>
        <v>12</v>
      </c>
      <c r="F69" s="236"/>
      <c r="G69" s="141">
        <f t="shared" si="7"/>
        <v>0</v>
      </c>
      <c r="H69" s="137">
        <v>0.00018</v>
      </c>
      <c r="I69" s="48">
        <f t="shared" si="8"/>
        <v>0.00216</v>
      </c>
      <c r="J69" s="138"/>
    </row>
    <row r="70" spans="1:10" s="198" customFormat="1" ht="12.75">
      <c r="A70" s="30"/>
      <c r="B70" s="137" t="s">
        <v>181</v>
      </c>
      <c r="C70" s="137" t="s">
        <v>182</v>
      </c>
      <c r="D70" s="143" t="s">
        <v>1</v>
      </c>
      <c r="E70" s="232">
        <v>7.1</v>
      </c>
      <c r="F70" s="236"/>
      <c r="G70" s="141">
        <f t="shared" si="7"/>
        <v>0</v>
      </c>
      <c r="H70" s="137">
        <v>0.00395</v>
      </c>
      <c r="I70" s="48">
        <f t="shared" si="8"/>
        <v>0.028045</v>
      </c>
      <c r="J70" s="138"/>
    </row>
    <row r="71" spans="1:10" s="198" customFormat="1" ht="12.75">
      <c r="A71" s="30"/>
      <c r="B71" s="190" t="s">
        <v>183</v>
      </c>
      <c r="C71" s="137" t="s">
        <v>184</v>
      </c>
      <c r="D71" s="53" t="s">
        <v>1</v>
      </c>
      <c r="E71" s="54">
        <f>2*11</f>
        <v>22</v>
      </c>
      <c r="F71" s="55"/>
      <c r="G71" s="141">
        <f t="shared" si="7"/>
        <v>0</v>
      </c>
      <c r="H71" s="46">
        <v>0.07057</v>
      </c>
      <c r="I71" s="48">
        <f t="shared" si="8"/>
        <v>1.5525399999999998</v>
      </c>
      <c r="J71" s="138"/>
    </row>
    <row r="72" spans="1:10" s="198" customFormat="1" ht="12.75">
      <c r="A72" s="93"/>
      <c r="B72" s="80"/>
      <c r="C72" s="106"/>
      <c r="D72" s="56"/>
      <c r="E72" s="84"/>
      <c r="F72" s="57"/>
      <c r="G72" s="58"/>
      <c r="H72" s="109"/>
      <c r="I72" s="124"/>
      <c r="J72" s="139"/>
    </row>
    <row r="73" spans="1:12" s="19" customFormat="1" ht="12.75">
      <c r="A73" s="79"/>
      <c r="B73" s="81" t="s">
        <v>62</v>
      </c>
      <c r="C73" s="83" t="s">
        <v>63</v>
      </c>
      <c r="D73" s="50"/>
      <c r="E73" s="122"/>
      <c r="F73" s="51"/>
      <c r="G73" s="165">
        <f>SUM(G74:G85)</f>
        <v>0</v>
      </c>
      <c r="H73" s="123"/>
      <c r="I73" s="164">
        <f>SUM(I74:I85)</f>
        <v>109.00953326999999</v>
      </c>
      <c r="J73" s="139"/>
      <c r="K73" s="127"/>
      <c r="L73" s="127"/>
    </row>
    <row r="74" spans="1:10" s="198" customFormat="1" ht="12.75">
      <c r="A74" s="30"/>
      <c r="B74" s="190" t="s">
        <v>185</v>
      </c>
      <c r="C74" s="137" t="s">
        <v>186</v>
      </c>
      <c r="D74" s="53" t="s">
        <v>23</v>
      </c>
      <c r="E74" s="213">
        <f>8.5*0.46*2.7+2*0.55*0.3*8.5+0.15*0.15*8.5</f>
        <v>13.55325</v>
      </c>
      <c r="F74" s="55"/>
      <c r="G74" s="43">
        <f aca="true" t="shared" si="13" ref="G74:G85">F74*E74</f>
        <v>0</v>
      </c>
      <c r="H74" s="46">
        <v>2.50276</v>
      </c>
      <c r="I74" s="48">
        <f aca="true" t="shared" si="14" ref="I74:I85">H74*E74</f>
        <v>33.92053197</v>
      </c>
      <c r="J74" s="139"/>
    </row>
    <row r="75" spans="1:10" s="198" customFormat="1" ht="12.75">
      <c r="A75" s="30"/>
      <c r="B75" s="190" t="s">
        <v>67</v>
      </c>
      <c r="C75" s="137" t="s">
        <v>187</v>
      </c>
      <c r="D75" s="53" t="s">
        <v>0</v>
      </c>
      <c r="E75" s="239">
        <f>(0.55+0.2+2.7+0.2+0.55)*8.5</f>
        <v>35.7</v>
      </c>
      <c r="F75" s="55"/>
      <c r="G75" s="43">
        <f t="shared" si="13"/>
        <v>0</v>
      </c>
      <c r="H75" s="46">
        <v>0.01325</v>
      </c>
      <c r="I75" s="48">
        <f t="shared" si="14"/>
        <v>0.47302500000000003</v>
      </c>
      <c r="J75" s="139"/>
    </row>
    <row r="76" spans="1:10" s="198" customFormat="1" ht="12.75">
      <c r="A76" s="30"/>
      <c r="B76" s="190" t="s">
        <v>68</v>
      </c>
      <c r="C76" s="137" t="s">
        <v>188</v>
      </c>
      <c r="D76" s="53" t="s">
        <v>0</v>
      </c>
      <c r="E76" s="239">
        <f>E75</f>
        <v>35.7</v>
      </c>
      <c r="F76" s="55"/>
      <c r="G76" s="43">
        <f t="shared" si="13"/>
        <v>0</v>
      </c>
      <c r="H76" s="46">
        <v>0</v>
      </c>
      <c r="I76" s="48">
        <f t="shared" si="14"/>
        <v>0</v>
      </c>
      <c r="J76" s="139"/>
    </row>
    <row r="77" spans="1:10" s="198" customFormat="1" ht="12.75">
      <c r="A77" s="30"/>
      <c r="B77" s="190" t="s">
        <v>64</v>
      </c>
      <c r="C77" s="137" t="s">
        <v>189</v>
      </c>
      <c r="D77" s="53" t="s">
        <v>0</v>
      </c>
      <c r="E77" s="213">
        <f>78.5*0.3*2+4.3*0.3*2</f>
        <v>49.68</v>
      </c>
      <c r="F77" s="55"/>
      <c r="G77" s="43">
        <f t="shared" si="13"/>
        <v>0</v>
      </c>
      <c r="H77" s="46">
        <v>0.01787</v>
      </c>
      <c r="I77" s="48">
        <f t="shared" si="14"/>
        <v>0.8877816000000001</v>
      </c>
      <c r="J77" s="139"/>
    </row>
    <row r="78" spans="1:10" s="198" customFormat="1" ht="12.75">
      <c r="A78" s="30"/>
      <c r="B78" s="190" t="s">
        <v>65</v>
      </c>
      <c r="C78" s="137" t="s">
        <v>190</v>
      </c>
      <c r="D78" s="53" t="s">
        <v>0</v>
      </c>
      <c r="E78" s="239">
        <f>E77</f>
        <v>49.68</v>
      </c>
      <c r="F78" s="55"/>
      <c r="G78" s="43">
        <f t="shared" si="13"/>
        <v>0</v>
      </c>
      <c r="H78" s="46">
        <v>0</v>
      </c>
      <c r="I78" s="48">
        <f t="shared" si="14"/>
        <v>0</v>
      </c>
      <c r="J78" s="139"/>
    </row>
    <row r="79" spans="1:10" s="198" customFormat="1" ht="12.75">
      <c r="A79" s="30"/>
      <c r="B79" s="190" t="s">
        <v>66</v>
      </c>
      <c r="C79" s="137" t="s">
        <v>191</v>
      </c>
      <c r="D79" s="53" t="s">
        <v>24</v>
      </c>
      <c r="E79" s="239">
        <v>1.41</v>
      </c>
      <c r="F79" s="55"/>
      <c r="G79" s="43">
        <f t="shared" si="13"/>
        <v>0</v>
      </c>
      <c r="H79" s="46">
        <v>1.04927</v>
      </c>
      <c r="I79" s="48">
        <f t="shared" si="14"/>
        <v>1.4794706999999998</v>
      </c>
      <c r="J79" s="139"/>
    </row>
    <row r="80" spans="1:10" s="198" customFormat="1" ht="12.75">
      <c r="A80" s="30"/>
      <c r="B80" s="190" t="s">
        <v>192</v>
      </c>
      <c r="C80" s="137" t="s">
        <v>193</v>
      </c>
      <c r="D80" s="53" t="s">
        <v>1</v>
      </c>
      <c r="E80" s="239">
        <f>2.8*2</f>
        <v>5.6</v>
      </c>
      <c r="F80" s="55"/>
      <c r="G80" s="43">
        <f t="shared" si="13"/>
        <v>0</v>
      </c>
      <c r="H80" s="46">
        <v>0.00672</v>
      </c>
      <c r="I80" s="48">
        <f t="shared" si="14"/>
        <v>0.037632</v>
      </c>
      <c r="J80" s="139"/>
    </row>
    <row r="81" spans="1:10" s="198" customFormat="1" ht="12.75">
      <c r="A81" s="30"/>
      <c r="B81" s="190" t="s">
        <v>194</v>
      </c>
      <c r="C81" s="137" t="s">
        <v>195</v>
      </c>
      <c r="D81" s="53" t="s">
        <v>24</v>
      </c>
      <c r="E81" s="54">
        <v>0.01</v>
      </c>
      <c r="F81" s="55"/>
      <c r="G81" s="43">
        <f t="shared" si="13"/>
        <v>0</v>
      </c>
      <c r="H81" s="46">
        <v>1.05896</v>
      </c>
      <c r="I81" s="48">
        <f t="shared" si="14"/>
        <v>0.0105896</v>
      </c>
      <c r="J81" s="139"/>
    </row>
    <row r="82" spans="1:10" s="198" customFormat="1" ht="12.75">
      <c r="A82" s="30"/>
      <c r="B82" s="190" t="s">
        <v>196</v>
      </c>
      <c r="C82" s="137" t="s">
        <v>197</v>
      </c>
      <c r="D82" s="53" t="s">
        <v>0</v>
      </c>
      <c r="E82" s="54">
        <f>2.8*(0.16+2*0.12)</f>
        <v>1.1199999999999999</v>
      </c>
      <c r="F82" s="55"/>
      <c r="G82" s="43">
        <f t="shared" si="13"/>
        <v>0</v>
      </c>
      <c r="H82" s="46">
        <v>0.02102</v>
      </c>
      <c r="I82" s="48">
        <f t="shared" si="14"/>
        <v>0.023542399999999998</v>
      </c>
      <c r="J82" s="139"/>
    </row>
    <row r="83" spans="1:10" s="198" customFormat="1" ht="12.75">
      <c r="A83" s="30"/>
      <c r="B83" s="190" t="s">
        <v>198</v>
      </c>
      <c r="C83" s="137" t="s">
        <v>199</v>
      </c>
      <c r="D83" s="53" t="s">
        <v>29</v>
      </c>
      <c r="E83" s="54">
        <v>6</v>
      </c>
      <c r="F83" s="55"/>
      <c r="G83" s="43">
        <f t="shared" si="13"/>
        <v>0</v>
      </c>
      <c r="H83" s="46">
        <v>0</v>
      </c>
      <c r="I83" s="48">
        <f t="shared" si="14"/>
        <v>0</v>
      </c>
      <c r="J83" s="139"/>
    </row>
    <row r="84" spans="1:10" s="198" customFormat="1" ht="12.75">
      <c r="A84" s="30"/>
      <c r="B84" s="241" t="s">
        <v>200</v>
      </c>
      <c r="C84" s="137" t="s">
        <v>201</v>
      </c>
      <c r="D84" s="143" t="s">
        <v>0</v>
      </c>
      <c r="E84" s="213">
        <f>(0.7+0.7+3.3)*10</f>
        <v>46.99999999999999</v>
      </c>
      <c r="F84" s="141"/>
      <c r="G84" s="141">
        <f t="shared" si="13"/>
        <v>0</v>
      </c>
      <c r="H84" s="142">
        <v>1.28781</v>
      </c>
      <c r="I84" s="48">
        <f t="shared" si="14"/>
        <v>60.52706999999999</v>
      </c>
      <c r="J84" s="139"/>
    </row>
    <row r="85" spans="1:10" s="198" customFormat="1" ht="12.75">
      <c r="A85" s="30"/>
      <c r="B85" s="241" t="s">
        <v>202</v>
      </c>
      <c r="C85" s="137" t="s">
        <v>203</v>
      </c>
      <c r="D85" s="143" t="s">
        <v>0</v>
      </c>
      <c r="E85" s="213">
        <f>E84</f>
        <v>46.99999999999999</v>
      </c>
      <c r="F85" s="141"/>
      <c r="G85" s="141">
        <f t="shared" si="13"/>
        <v>0</v>
      </c>
      <c r="H85" s="142">
        <v>0.24787</v>
      </c>
      <c r="I85" s="48">
        <f t="shared" si="14"/>
        <v>11.64989</v>
      </c>
      <c r="J85" s="139"/>
    </row>
    <row r="86" spans="1:12" s="19" customFormat="1" ht="12.75">
      <c r="A86" s="146"/>
      <c r="B86" s="227"/>
      <c r="C86" s="187"/>
      <c r="D86" s="224"/>
      <c r="E86" s="229"/>
      <c r="F86" s="225"/>
      <c r="G86" s="153"/>
      <c r="H86" s="230"/>
      <c r="I86" s="160"/>
      <c r="J86" s="139"/>
      <c r="K86" s="127"/>
      <c r="L86" s="127"/>
    </row>
    <row r="87" spans="1:12" s="19" customFormat="1" ht="12.75">
      <c r="A87" s="79"/>
      <c r="B87" s="172">
        <v>5</v>
      </c>
      <c r="C87" s="173" t="s">
        <v>79</v>
      </c>
      <c r="D87" s="168"/>
      <c r="E87" s="228"/>
      <c r="F87" s="155"/>
      <c r="G87" s="52">
        <f>SUM(G88:G89)</f>
        <v>0</v>
      </c>
      <c r="H87" s="169"/>
      <c r="I87" s="164">
        <f>SUM(I88:I89)</f>
        <v>5.920326</v>
      </c>
      <c r="J87" s="139"/>
      <c r="K87" s="127"/>
      <c r="L87" s="127"/>
    </row>
    <row r="88" spans="1:10" s="198" customFormat="1" ht="12.75">
      <c r="A88" s="30"/>
      <c r="B88" s="241" t="s">
        <v>204</v>
      </c>
      <c r="C88" s="137" t="s">
        <v>205</v>
      </c>
      <c r="D88" s="143" t="s">
        <v>0</v>
      </c>
      <c r="E88" s="213">
        <f>8.5*3</f>
        <v>25.5</v>
      </c>
      <c r="F88" s="141"/>
      <c r="G88" s="141">
        <f aca="true" t="shared" si="15" ref="G88:G89">F88*E88</f>
        <v>0</v>
      </c>
      <c r="H88" s="142">
        <v>0.12966</v>
      </c>
      <c r="I88" s="48">
        <f aca="true" t="shared" si="16" ref="I88:I89">H88*E88</f>
        <v>3.30633</v>
      </c>
      <c r="J88" s="139"/>
    </row>
    <row r="89" spans="1:10" s="198" customFormat="1" ht="12.75">
      <c r="A89" s="30"/>
      <c r="B89" s="241" t="s">
        <v>206</v>
      </c>
      <c r="C89" s="137" t="s">
        <v>207</v>
      </c>
      <c r="D89" s="143" t="s">
        <v>0</v>
      </c>
      <c r="E89" s="213">
        <f>8.4*3</f>
        <v>25.200000000000003</v>
      </c>
      <c r="F89" s="141"/>
      <c r="G89" s="141">
        <f t="shared" si="15"/>
        <v>0</v>
      </c>
      <c r="H89" s="142">
        <v>0.10373</v>
      </c>
      <c r="I89" s="48">
        <f t="shared" si="16"/>
        <v>2.613996</v>
      </c>
      <c r="J89" s="139"/>
    </row>
    <row r="90" spans="1:12" s="19" customFormat="1" ht="12.75">
      <c r="A90" s="146"/>
      <c r="B90" s="167"/>
      <c r="C90" s="161"/>
      <c r="D90" s="162"/>
      <c r="E90" s="163"/>
      <c r="F90" s="49"/>
      <c r="H90" s="160"/>
      <c r="J90" s="139"/>
      <c r="K90" s="127"/>
      <c r="L90" s="127"/>
    </row>
    <row r="91" spans="1:11" s="19" customFormat="1" ht="12.75">
      <c r="A91" s="79"/>
      <c r="B91" s="144">
        <v>711</v>
      </c>
      <c r="C91" s="145" t="s">
        <v>39</v>
      </c>
      <c r="D91" s="102"/>
      <c r="E91" s="171"/>
      <c r="F91" s="60"/>
      <c r="G91" s="119">
        <f>SUM(G92:G99)</f>
        <v>0</v>
      </c>
      <c r="H91" s="104"/>
      <c r="I91" s="108">
        <f>SUM(I92:I99)</f>
        <v>0.035181</v>
      </c>
      <c r="J91" s="139"/>
      <c r="K91" s="127"/>
    </row>
    <row r="92" spans="1:10" s="198" customFormat="1" ht="12.75">
      <c r="A92" s="30"/>
      <c r="B92" s="137" t="s">
        <v>208</v>
      </c>
      <c r="C92" s="137" t="s">
        <v>209</v>
      </c>
      <c r="D92" s="143" t="s">
        <v>0</v>
      </c>
      <c r="E92" s="213">
        <f>(3.1+0.8+0.8+0.5+0.8+1.2)*4.25*2+1.9*0.8*2+(0.5+0.6+0.3)*(2.7+5.2)+0.5*1.2*2+0.5*3*2+3.2*2.2+(0.7+3)*0.5*5.6+5.6*0.5+(3+1.3)*0.5*2.6+0.5*2.6+0.6*0.5*2+7.3*4.25</f>
        <v>138.215</v>
      </c>
      <c r="F92" s="236"/>
      <c r="G92" s="43">
        <f aca="true" t="shared" si="17" ref="G92:G99">F92*E92</f>
        <v>0</v>
      </c>
      <c r="H92" s="142">
        <v>0</v>
      </c>
      <c r="I92" s="48">
        <f aca="true" t="shared" si="18" ref="I92:I98">H92*E92</f>
        <v>0</v>
      </c>
      <c r="J92" s="139"/>
    </row>
    <row r="93" spans="1:10" s="198" customFormat="1" ht="12.75">
      <c r="A93" s="30"/>
      <c r="B93" s="137" t="s">
        <v>210</v>
      </c>
      <c r="C93" s="137" t="s">
        <v>211</v>
      </c>
      <c r="D93" s="143" t="s">
        <v>0</v>
      </c>
      <c r="E93" s="213">
        <f>0.8*4.25*2*2+1.9*0.8*2*2+5.5*0.5*2+1.2*0.5*4+2.6*0.5*2</f>
        <v>30.18</v>
      </c>
      <c r="F93" s="236"/>
      <c r="G93" s="43">
        <f t="shared" si="17"/>
        <v>0</v>
      </c>
      <c r="H93" s="142">
        <v>0.0001</v>
      </c>
      <c r="I93" s="48">
        <f t="shared" si="18"/>
        <v>0.0030180000000000003</v>
      </c>
      <c r="J93" s="139"/>
    </row>
    <row r="94" spans="1:11" s="19" customFormat="1" ht="12.75">
      <c r="A94" s="30"/>
      <c r="B94" s="137"/>
      <c r="C94" s="226" t="s">
        <v>212</v>
      </c>
      <c r="D94" s="143" t="s">
        <v>0</v>
      </c>
      <c r="E94" s="231">
        <f>E97</f>
        <v>36.12</v>
      </c>
      <c r="F94" s="236"/>
      <c r="G94" s="43">
        <f t="shared" si="17"/>
        <v>0</v>
      </c>
      <c r="H94" s="142">
        <v>0</v>
      </c>
      <c r="I94" s="48">
        <f t="shared" si="18"/>
        <v>0</v>
      </c>
      <c r="J94" s="139"/>
      <c r="K94" s="127"/>
    </row>
    <row r="95" spans="1:10" s="198" customFormat="1" ht="12.75">
      <c r="A95" s="30"/>
      <c r="B95" s="137" t="s">
        <v>213</v>
      </c>
      <c r="C95" s="137" t="s">
        <v>214</v>
      </c>
      <c r="D95" s="143" t="s">
        <v>0</v>
      </c>
      <c r="E95" s="231">
        <f>8.5*4.1</f>
        <v>34.849999999999994</v>
      </c>
      <c r="F95" s="236"/>
      <c r="G95" s="43">
        <f t="shared" si="17"/>
        <v>0</v>
      </c>
      <c r="H95" s="142">
        <v>0.00038</v>
      </c>
      <c r="I95" s="48">
        <f t="shared" si="18"/>
        <v>0.013242999999999998</v>
      </c>
      <c r="J95" s="139"/>
    </row>
    <row r="96" spans="1:10" s="198" customFormat="1" ht="12.75">
      <c r="A96" s="30"/>
      <c r="B96" s="137" t="s">
        <v>215</v>
      </c>
      <c r="C96" s="137" t="s">
        <v>216</v>
      </c>
      <c r="D96" s="143" t="s">
        <v>0</v>
      </c>
      <c r="E96" s="231">
        <f>0.8*4.3*2+0.5*4.3*2</f>
        <v>11.18</v>
      </c>
      <c r="F96" s="236"/>
      <c r="G96" s="43">
        <f t="shared" si="17"/>
        <v>0</v>
      </c>
      <c r="H96" s="142">
        <v>0.0004</v>
      </c>
      <c r="I96" s="48">
        <f t="shared" si="18"/>
        <v>0.004472</v>
      </c>
      <c r="J96" s="139"/>
    </row>
    <row r="97" spans="1:10" s="198" customFormat="1" ht="12.75">
      <c r="A97" s="30"/>
      <c r="B97" s="137" t="s">
        <v>217</v>
      </c>
      <c r="C97" s="137" t="s">
        <v>218</v>
      </c>
      <c r="D97" s="143" t="s">
        <v>0</v>
      </c>
      <c r="E97" s="231">
        <f>3*4.3*2+1.2*4.3*2</f>
        <v>36.12</v>
      </c>
      <c r="F97" s="236"/>
      <c r="G97" s="43">
        <f t="shared" si="17"/>
        <v>0</v>
      </c>
      <c r="H97" s="142">
        <v>0.0004</v>
      </c>
      <c r="I97" s="48">
        <f t="shared" si="18"/>
        <v>0.014447999999999999</v>
      </c>
      <c r="J97" s="139"/>
    </row>
    <row r="98" spans="1:11" s="19" customFormat="1" ht="12.75">
      <c r="A98" s="30"/>
      <c r="B98" s="140">
        <v>628521240</v>
      </c>
      <c r="C98" s="140" t="s">
        <v>70</v>
      </c>
      <c r="D98" s="143" t="s">
        <v>0</v>
      </c>
      <c r="E98" s="181">
        <f>E97+E96+E95</f>
        <v>82.14999999999999</v>
      </c>
      <c r="F98" s="141"/>
      <c r="G98" s="43">
        <f t="shared" si="17"/>
        <v>0</v>
      </c>
      <c r="H98" s="142">
        <v>0</v>
      </c>
      <c r="I98" s="48">
        <f t="shared" si="18"/>
        <v>0</v>
      </c>
      <c r="J98" s="139"/>
      <c r="K98" s="127"/>
    </row>
    <row r="99" spans="1:10" s="198" customFormat="1" ht="12.75">
      <c r="A99" s="30"/>
      <c r="B99" s="137" t="s">
        <v>219</v>
      </c>
      <c r="C99" s="137" t="s">
        <v>220</v>
      </c>
      <c r="D99" s="143" t="s">
        <v>24</v>
      </c>
      <c r="E99" s="181">
        <f>I91</f>
        <v>0.035181</v>
      </c>
      <c r="F99" s="236"/>
      <c r="G99" s="43">
        <f t="shared" si="17"/>
        <v>0</v>
      </c>
      <c r="H99" s="142">
        <v>0</v>
      </c>
      <c r="I99" s="48">
        <v>0</v>
      </c>
      <c r="J99" s="139"/>
    </row>
    <row r="100" spans="1:11" s="19" customFormat="1" ht="12.75">
      <c r="A100" s="93"/>
      <c r="B100" s="149"/>
      <c r="C100" s="149"/>
      <c r="D100" s="150"/>
      <c r="E100" s="120"/>
      <c r="F100" s="57"/>
      <c r="G100" s="147"/>
      <c r="H100" s="121"/>
      <c r="I100" s="110"/>
      <c r="J100" s="139"/>
      <c r="K100" s="127"/>
    </row>
    <row r="101" spans="1:11" s="19" customFormat="1" ht="12.75">
      <c r="A101" s="79"/>
      <c r="B101" s="81" t="s">
        <v>30</v>
      </c>
      <c r="C101" s="125" t="s">
        <v>31</v>
      </c>
      <c r="D101" s="102"/>
      <c r="E101" s="85"/>
      <c r="F101" s="60"/>
      <c r="G101" s="61">
        <f>SUM(G102:G104)</f>
        <v>0</v>
      </c>
      <c r="H101" s="104"/>
      <c r="I101" s="108">
        <f>SUM(I102:I104)</f>
        <v>0.545932</v>
      </c>
      <c r="J101" s="139"/>
      <c r="K101" s="127"/>
    </row>
    <row r="102" spans="1:10" s="198" customFormat="1" ht="12.75">
      <c r="A102" s="30"/>
      <c r="B102" s="193" t="s">
        <v>221</v>
      </c>
      <c r="C102" s="137" t="s">
        <v>222</v>
      </c>
      <c r="D102" s="40" t="s">
        <v>0</v>
      </c>
      <c r="E102" s="183">
        <f>(3.7+3.2)*0.4+0.4*0.4*4</f>
        <v>3.4000000000000004</v>
      </c>
      <c r="F102" s="47"/>
      <c r="G102" s="43">
        <f aca="true" t="shared" si="19" ref="G102:G104">F102*E102</f>
        <v>0</v>
      </c>
      <c r="H102" s="46">
        <v>0.00063</v>
      </c>
      <c r="I102" s="48">
        <f aca="true" t="shared" si="20" ref="I102:I104">H102*E102</f>
        <v>0.0021420000000000002</v>
      </c>
      <c r="J102" s="138"/>
    </row>
    <row r="103" spans="1:10" s="198" customFormat="1" ht="12.75">
      <c r="A103" s="30"/>
      <c r="B103" s="246" t="s">
        <v>247</v>
      </c>
      <c r="C103" s="246" t="s">
        <v>248</v>
      </c>
      <c r="D103" s="40" t="s">
        <v>1</v>
      </c>
      <c r="E103" s="183">
        <v>2</v>
      </c>
      <c r="F103" s="47"/>
      <c r="G103" s="43">
        <f t="shared" si="19"/>
        <v>0</v>
      </c>
      <c r="H103" s="46">
        <v>0.13096</v>
      </c>
      <c r="I103" s="48">
        <f t="shared" si="20"/>
        <v>0.26192</v>
      </c>
      <c r="J103" s="138"/>
    </row>
    <row r="104" spans="1:13" s="19" customFormat="1" ht="12.75">
      <c r="A104" s="30"/>
      <c r="B104" s="148" t="s">
        <v>42</v>
      </c>
      <c r="C104" s="140" t="s">
        <v>43</v>
      </c>
      <c r="D104" s="143" t="s">
        <v>1</v>
      </c>
      <c r="E104" s="183">
        <f>E70</f>
        <v>7.1</v>
      </c>
      <c r="F104" s="141"/>
      <c r="G104" s="43">
        <f t="shared" si="19"/>
        <v>0</v>
      </c>
      <c r="H104" s="142">
        <f>(2*10.6+5.3+10*1.1*1.2)/1000</f>
        <v>0.039700000000000006</v>
      </c>
      <c r="I104" s="48">
        <f t="shared" si="20"/>
        <v>0.28187</v>
      </c>
      <c r="J104" s="138"/>
      <c r="K104" s="127"/>
      <c r="L104" s="127"/>
      <c r="M104" s="127"/>
    </row>
    <row r="105" spans="1:13" s="19" customFormat="1" ht="12.75">
      <c r="A105" s="93"/>
      <c r="B105" s="156"/>
      <c r="C105" s="150"/>
      <c r="D105" s="152"/>
      <c r="E105" s="158"/>
      <c r="F105" s="153"/>
      <c r="G105" s="58"/>
      <c r="H105" s="121"/>
      <c r="I105" s="124"/>
      <c r="J105" s="138"/>
      <c r="K105" s="127"/>
      <c r="L105" s="127"/>
      <c r="M105" s="127"/>
    </row>
    <row r="106" spans="1:13" s="19" customFormat="1" ht="12.75">
      <c r="A106" s="79"/>
      <c r="B106" s="144">
        <v>94</v>
      </c>
      <c r="C106" s="166" t="s">
        <v>69</v>
      </c>
      <c r="D106" s="154"/>
      <c r="E106" s="159"/>
      <c r="F106" s="155"/>
      <c r="G106" s="52">
        <f>SUM(G107:G108)</f>
        <v>0</v>
      </c>
      <c r="H106" s="104"/>
      <c r="I106" s="108">
        <f>SUM(I107:I108)</f>
        <v>0.6062472000000001</v>
      </c>
      <c r="J106" s="138"/>
      <c r="K106" s="127"/>
      <c r="L106" s="127"/>
      <c r="M106" s="127"/>
    </row>
    <row r="107" spans="1:10" s="198" customFormat="1" ht="12.75">
      <c r="A107" s="30"/>
      <c r="B107" s="137" t="s">
        <v>223</v>
      </c>
      <c r="C107" s="137" t="s">
        <v>224</v>
      </c>
      <c r="D107" s="143" t="s">
        <v>23</v>
      </c>
      <c r="E107" s="183">
        <f>8.5*0.1*0.1*4.5*4*3</f>
        <v>4.590000000000001</v>
      </c>
      <c r="F107" s="141"/>
      <c r="G107" s="43">
        <f>F107*E107</f>
        <v>0</v>
      </c>
      <c r="H107" s="46">
        <v>0.13208</v>
      </c>
      <c r="I107" s="48">
        <f>H107*E107</f>
        <v>0.6062472000000001</v>
      </c>
      <c r="J107" s="138"/>
    </row>
    <row r="108" spans="1:10" s="198" customFormat="1" ht="12.75">
      <c r="A108" s="30"/>
      <c r="B108" s="137" t="s">
        <v>225</v>
      </c>
      <c r="C108" s="137" t="s">
        <v>226</v>
      </c>
      <c r="D108" s="143" t="s">
        <v>23</v>
      </c>
      <c r="E108" s="183">
        <f>E107</f>
        <v>4.590000000000001</v>
      </c>
      <c r="F108" s="141"/>
      <c r="G108" s="43">
        <f>F108*E108</f>
        <v>0</v>
      </c>
      <c r="H108" s="46">
        <v>0</v>
      </c>
      <c r="I108" s="48">
        <f>H108*E108</f>
        <v>0</v>
      </c>
      <c r="J108" s="138"/>
    </row>
    <row r="109" spans="1:10" s="198" customFormat="1" ht="12.75">
      <c r="A109" s="93"/>
      <c r="B109" s="150"/>
      <c r="C109" s="150"/>
      <c r="D109" s="242"/>
      <c r="E109" s="216"/>
      <c r="F109" s="243"/>
      <c r="H109" s="121"/>
      <c r="J109" s="138"/>
    </row>
    <row r="110" spans="1:13" s="19" customFormat="1" ht="12.75">
      <c r="A110" s="79"/>
      <c r="B110" s="81" t="s">
        <v>46</v>
      </c>
      <c r="C110" s="125" t="s">
        <v>47</v>
      </c>
      <c r="D110" s="154"/>
      <c r="E110" s="217"/>
      <c r="F110" s="51"/>
      <c r="G110" s="157">
        <f>SUM(G111:G113)</f>
        <v>0</v>
      </c>
      <c r="H110" s="104"/>
      <c r="I110" s="108">
        <f>SUM(I111:I113)</f>
        <v>6.9512617500000005</v>
      </c>
      <c r="J110" s="138"/>
      <c r="K110" s="127"/>
      <c r="L110" s="127"/>
      <c r="M110" s="127"/>
    </row>
    <row r="111" spans="1:10" s="198" customFormat="1" ht="12.75">
      <c r="A111" s="30"/>
      <c r="B111" s="137" t="s">
        <v>227</v>
      </c>
      <c r="C111" s="137" t="s">
        <v>228</v>
      </c>
      <c r="D111" s="143" t="s">
        <v>23</v>
      </c>
      <c r="E111" s="183">
        <f>4.7*0.8*2*4+1.2*0.7*3+0.7*0.7*3+1.8*0.7*3+1.4*0.7*3</f>
        <v>40.79</v>
      </c>
      <c r="F111" s="141"/>
      <c r="G111" s="43">
        <f aca="true" t="shared" si="21" ref="G111:G113">F111*E111</f>
        <v>0</v>
      </c>
      <c r="H111" s="46">
        <v>0.12</v>
      </c>
      <c r="I111" s="48">
        <f aca="true" t="shared" si="22" ref="I111:I113">H111*E111</f>
        <v>4.8948</v>
      </c>
      <c r="J111" s="138"/>
    </row>
    <row r="112" spans="1:10" s="198" customFormat="1" ht="12.75">
      <c r="A112" s="30"/>
      <c r="B112" s="137" t="s">
        <v>229</v>
      </c>
      <c r="C112" s="137" t="s">
        <v>230</v>
      </c>
      <c r="D112" s="143" t="s">
        <v>23</v>
      </c>
      <c r="E112" s="215">
        <f>7.7*3.5*0.3</f>
        <v>8.084999999999999</v>
      </c>
      <c r="F112" s="141"/>
      <c r="G112" s="43">
        <f t="shared" si="21"/>
        <v>0</v>
      </c>
      <c r="H112" s="46">
        <v>0.12</v>
      </c>
      <c r="I112" s="48">
        <f t="shared" si="22"/>
        <v>0.9701999999999998</v>
      </c>
      <c r="J112" s="138"/>
    </row>
    <row r="113" spans="1:10" s="198" customFormat="1" ht="12.75">
      <c r="A113" s="30"/>
      <c r="B113" s="137" t="s">
        <v>231</v>
      </c>
      <c r="C113" s="137" t="s">
        <v>232</v>
      </c>
      <c r="D113" s="143" t="s">
        <v>23</v>
      </c>
      <c r="E113" s="244">
        <f>8.5*3.5*0.3</f>
        <v>8.924999999999999</v>
      </c>
      <c r="F113" s="141"/>
      <c r="G113" s="43">
        <f t="shared" si="21"/>
        <v>0</v>
      </c>
      <c r="H113" s="46">
        <v>0.12171</v>
      </c>
      <c r="I113" s="48">
        <f t="shared" si="22"/>
        <v>1.0862617499999998</v>
      </c>
      <c r="J113" s="138"/>
    </row>
    <row r="114" spans="1:13" s="19" customFormat="1" ht="12.75">
      <c r="A114" s="93"/>
      <c r="B114" s="106"/>
      <c r="C114" s="106"/>
      <c r="D114" s="56"/>
      <c r="E114" s="120"/>
      <c r="G114" s="63"/>
      <c r="H114" s="121"/>
      <c r="J114" s="139"/>
      <c r="K114" s="127"/>
      <c r="L114" s="127"/>
      <c r="M114" s="127"/>
    </row>
    <row r="115" spans="1:13" s="19" customFormat="1" ht="12.75">
      <c r="A115" s="79"/>
      <c r="B115" s="81" t="s">
        <v>32</v>
      </c>
      <c r="C115" s="83" t="s">
        <v>33</v>
      </c>
      <c r="D115" s="50"/>
      <c r="E115" s="122"/>
      <c r="F115" s="51"/>
      <c r="G115" s="52">
        <f>SUM(G116:G122)</f>
        <v>0</v>
      </c>
      <c r="H115" s="123"/>
      <c r="I115" s="108"/>
      <c r="J115" s="139"/>
      <c r="K115" s="127"/>
      <c r="L115" s="127"/>
      <c r="M115" s="127"/>
    </row>
    <row r="116" spans="1:10" s="198" customFormat="1" ht="12.75">
      <c r="A116" s="30"/>
      <c r="B116" s="190" t="s">
        <v>233</v>
      </c>
      <c r="C116" s="137" t="s">
        <v>234</v>
      </c>
      <c r="D116" s="53" t="s">
        <v>24</v>
      </c>
      <c r="E116" s="239">
        <f>SUM(E111:E113)*2.3</f>
        <v>132.93999999999997</v>
      </c>
      <c r="F116" s="55"/>
      <c r="G116" s="43">
        <f aca="true" t="shared" si="23" ref="G116:G121">F116*E116</f>
        <v>0</v>
      </c>
      <c r="H116" s="46">
        <v>0</v>
      </c>
      <c r="I116" s="48">
        <f aca="true" t="shared" si="24" ref="I116:I121">H116*E116</f>
        <v>0</v>
      </c>
      <c r="J116" s="139"/>
    </row>
    <row r="117" spans="1:10" s="198" customFormat="1" ht="12.75">
      <c r="A117" s="30"/>
      <c r="B117" s="190" t="s">
        <v>235</v>
      </c>
      <c r="C117" s="137" t="s">
        <v>236</v>
      </c>
      <c r="D117" s="53" t="s">
        <v>24</v>
      </c>
      <c r="E117" s="239">
        <f>E116</f>
        <v>132.93999999999997</v>
      </c>
      <c r="F117" s="55"/>
      <c r="G117" s="43">
        <f t="shared" si="23"/>
        <v>0</v>
      </c>
      <c r="H117" s="46">
        <v>0</v>
      </c>
      <c r="I117" s="48">
        <f t="shared" si="24"/>
        <v>0</v>
      </c>
      <c r="J117" s="139"/>
    </row>
    <row r="118" spans="1:10" s="198" customFormat="1" ht="12.75">
      <c r="A118" s="30"/>
      <c r="B118" s="190" t="s">
        <v>237</v>
      </c>
      <c r="C118" s="137" t="s">
        <v>238</v>
      </c>
      <c r="D118" s="53" t="s">
        <v>24</v>
      </c>
      <c r="E118" s="54">
        <f>E117*15</f>
        <v>1994.0999999999995</v>
      </c>
      <c r="F118" s="55"/>
      <c r="G118" s="43">
        <f t="shared" si="23"/>
        <v>0</v>
      </c>
      <c r="H118" s="46">
        <v>0</v>
      </c>
      <c r="I118" s="48">
        <f t="shared" si="24"/>
        <v>0</v>
      </c>
      <c r="J118" s="139"/>
    </row>
    <row r="119" spans="1:10" s="198" customFormat="1" ht="12.75">
      <c r="A119" s="30"/>
      <c r="B119" s="190" t="s">
        <v>239</v>
      </c>
      <c r="C119" s="137" t="s">
        <v>240</v>
      </c>
      <c r="D119" s="53" t="s">
        <v>24</v>
      </c>
      <c r="E119" s="54">
        <f>E116</f>
        <v>132.93999999999997</v>
      </c>
      <c r="F119" s="55"/>
      <c r="G119" s="43">
        <f t="shared" si="23"/>
        <v>0</v>
      </c>
      <c r="H119" s="46">
        <v>0</v>
      </c>
      <c r="I119" s="48">
        <f t="shared" si="24"/>
        <v>0</v>
      </c>
      <c r="J119" s="139"/>
    </row>
    <row r="120" spans="1:10" s="198" customFormat="1" ht="12.75">
      <c r="A120" s="30"/>
      <c r="B120" s="190" t="s">
        <v>241</v>
      </c>
      <c r="C120" s="137" t="s">
        <v>242</v>
      </c>
      <c r="D120" s="53" t="s">
        <v>24</v>
      </c>
      <c r="E120" s="54">
        <f>E113</f>
        <v>8.924999999999999</v>
      </c>
      <c r="F120" s="55"/>
      <c r="G120" s="43">
        <f t="shared" si="23"/>
        <v>0</v>
      </c>
      <c r="H120" s="46">
        <v>0</v>
      </c>
      <c r="I120" s="48">
        <f t="shared" si="24"/>
        <v>0</v>
      </c>
      <c r="J120" s="139"/>
    </row>
    <row r="121" spans="1:10" s="198" customFormat="1" ht="12.75">
      <c r="A121" s="30"/>
      <c r="B121" s="190" t="s">
        <v>95</v>
      </c>
      <c r="C121" s="137" t="s">
        <v>245</v>
      </c>
      <c r="D121" s="53" t="s">
        <v>24</v>
      </c>
      <c r="E121" s="54">
        <f>E111+E112</f>
        <v>48.875</v>
      </c>
      <c r="F121" s="55"/>
      <c r="G121" s="43">
        <f t="shared" si="23"/>
        <v>0</v>
      </c>
      <c r="H121" s="46">
        <v>0</v>
      </c>
      <c r="I121" s="48">
        <f t="shared" si="24"/>
        <v>0</v>
      </c>
      <c r="J121" s="139"/>
    </row>
    <row r="122" spans="1:10" s="198" customFormat="1" ht="12.75">
      <c r="A122" s="30"/>
      <c r="B122" s="190" t="s">
        <v>243</v>
      </c>
      <c r="C122" s="137" t="s">
        <v>244</v>
      </c>
      <c r="D122" s="30" t="s">
        <v>24</v>
      </c>
      <c r="E122" s="45">
        <f>I110+I106+I101+I91+I87+I73+I54+I42</f>
        <v>276.04990338053295</v>
      </c>
      <c r="F122" s="47"/>
      <c r="G122" s="43">
        <f>F122*E122</f>
        <v>0</v>
      </c>
      <c r="H122" s="46">
        <v>0</v>
      </c>
      <c r="I122" s="48">
        <f aca="true" t="shared" si="25" ref="I122">H122*E122</f>
        <v>0</v>
      </c>
      <c r="J122" s="139"/>
    </row>
    <row r="123" spans="1:11" s="19" customFormat="1" ht="12.75">
      <c r="A123" s="62"/>
      <c r="B123" s="78"/>
      <c r="C123" s="78"/>
      <c r="E123" s="218"/>
      <c r="F123" s="86"/>
      <c r="G123" s="86"/>
      <c r="J123" s="139"/>
      <c r="K123" s="127"/>
    </row>
    <row r="124" spans="1:11" s="19" customFormat="1" ht="12.75">
      <c r="A124" s="62"/>
      <c r="B124" s="78"/>
      <c r="C124" s="78"/>
      <c r="E124" s="218"/>
      <c r="F124" s="86"/>
      <c r="G124" s="86"/>
      <c r="J124" s="139"/>
      <c r="K124" s="127"/>
    </row>
    <row r="125" spans="3:11" s="64" customFormat="1" ht="12.75">
      <c r="C125" s="66" t="s">
        <v>34</v>
      </c>
      <c r="E125" s="219"/>
      <c r="G125" s="67">
        <f>G16+G101+G115+G8+G91+G42+G110+G106+G73+G54+G87</f>
        <v>0</v>
      </c>
      <c r="I125" s="67"/>
      <c r="K125" s="133"/>
    </row>
    <row r="126" spans="1:11" ht="12.75">
      <c r="A126" s="64"/>
      <c r="B126" s="64"/>
      <c r="C126" s="66" t="s">
        <v>35</v>
      </c>
      <c r="D126" s="64"/>
      <c r="E126" s="219"/>
      <c r="F126" s="64"/>
      <c r="G126" s="68">
        <f>G125*0.21</f>
        <v>0</v>
      </c>
      <c r="H126" s="64"/>
      <c r="I126" s="68"/>
      <c r="J126" s="151"/>
      <c r="K126" s="133"/>
    </row>
    <row r="127" spans="1:11" ht="12.75">
      <c r="A127" s="64"/>
      <c r="B127" s="64"/>
      <c r="C127" s="69" t="s">
        <v>36</v>
      </c>
      <c r="D127" s="64"/>
      <c r="E127" s="219"/>
      <c r="F127" s="64"/>
      <c r="G127" s="67">
        <f>SUM(G125:G126)</f>
        <v>0</v>
      </c>
      <c r="H127" s="64"/>
      <c r="I127" s="67"/>
      <c r="J127" s="151"/>
      <c r="K127" s="65"/>
    </row>
    <row r="128" spans="3:10" ht="12.75">
      <c r="C128" s="66"/>
      <c r="E128" s="220"/>
      <c r="G128" s="68"/>
      <c r="J128" s="151"/>
    </row>
    <row r="129" spans="5:10" ht="12.75">
      <c r="E129" s="220"/>
      <c r="J129" s="151"/>
    </row>
    <row r="130" ht="12.75">
      <c r="E130" s="220"/>
    </row>
    <row r="131" ht="12.75">
      <c r="E131" s="220"/>
    </row>
    <row r="132" ht="12.75">
      <c r="E132" s="220"/>
    </row>
    <row r="133" ht="12.75">
      <c r="E133" s="220"/>
    </row>
    <row r="134" ht="12.75">
      <c r="E134" s="220"/>
    </row>
    <row r="135" ht="12.75">
      <c r="E135" s="220"/>
    </row>
    <row r="136" ht="12.75">
      <c r="E136" s="220"/>
    </row>
    <row r="137" ht="12.75">
      <c r="E137" s="220"/>
    </row>
    <row r="138" ht="12.75">
      <c r="E138" s="220"/>
    </row>
    <row r="139" ht="12.75">
      <c r="E139" s="220"/>
    </row>
    <row r="140" ht="12.75">
      <c r="E140" s="220"/>
    </row>
    <row r="141" spans="1:2" ht="12.75">
      <c r="A141" s="70"/>
      <c r="B141" s="70"/>
    </row>
    <row r="142" spans="1:5" ht="12.75">
      <c r="A142" s="72"/>
      <c r="B142" s="72"/>
      <c r="C142" s="73"/>
      <c r="D142" s="73"/>
      <c r="E142" s="222"/>
    </row>
    <row r="143" spans="1:5" ht="12.75">
      <c r="A143" s="75"/>
      <c r="B143" s="75"/>
      <c r="C143" s="72"/>
      <c r="D143" s="72"/>
      <c r="E143" s="223"/>
    </row>
    <row r="144" spans="1:5" ht="12.75">
      <c r="A144" s="72"/>
      <c r="B144" s="72"/>
      <c r="C144" s="72"/>
      <c r="D144" s="72"/>
      <c r="E144" s="223"/>
    </row>
    <row r="145" spans="1:7" ht="12.75">
      <c r="A145" s="72"/>
      <c r="B145" s="72"/>
      <c r="C145" s="72"/>
      <c r="D145" s="72"/>
      <c r="E145" s="223"/>
      <c r="F145" s="77"/>
      <c r="G145" s="77"/>
    </row>
    <row r="146" spans="1:7" ht="12.75">
      <c r="A146" s="72"/>
      <c r="B146" s="72"/>
      <c r="C146" s="72"/>
      <c r="D146" s="72"/>
      <c r="E146" s="223"/>
      <c r="F146" s="72"/>
      <c r="G146" s="72"/>
    </row>
    <row r="147" spans="1:7" ht="12.75">
      <c r="A147" s="72"/>
      <c r="B147" s="72"/>
      <c r="C147" s="72"/>
      <c r="D147" s="72"/>
      <c r="E147" s="223"/>
      <c r="F147" s="72"/>
      <c r="G147" s="72"/>
    </row>
    <row r="148" spans="1:7" ht="12.75">
      <c r="A148" s="72"/>
      <c r="B148" s="72"/>
      <c r="C148" s="72"/>
      <c r="D148" s="72"/>
      <c r="E148" s="223"/>
      <c r="F148" s="72"/>
      <c r="G148" s="72"/>
    </row>
    <row r="149" spans="1:7" ht="12.75">
      <c r="A149" s="72"/>
      <c r="B149" s="72"/>
      <c r="C149" s="72"/>
      <c r="D149" s="72"/>
      <c r="E149" s="223"/>
      <c r="F149" s="72"/>
      <c r="G149" s="72"/>
    </row>
    <row r="150" spans="1:7" ht="12.75">
      <c r="A150" s="72"/>
      <c r="B150" s="72"/>
      <c r="C150" s="72"/>
      <c r="D150" s="72"/>
      <c r="E150" s="223"/>
      <c r="F150" s="72"/>
      <c r="G150" s="72"/>
    </row>
    <row r="151" spans="1:7" ht="12.75">
      <c r="A151" s="72"/>
      <c r="B151" s="72"/>
      <c r="C151" s="72"/>
      <c r="D151" s="72"/>
      <c r="E151" s="223"/>
      <c r="F151" s="72"/>
      <c r="G151" s="72"/>
    </row>
    <row r="152" spans="1:7" ht="12.75">
      <c r="A152" s="72"/>
      <c r="B152" s="72"/>
      <c r="C152" s="72"/>
      <c r="D152" s="72"/>
      <c r="E152" s="223"/>
      <c r="F152" s="72"/>
      <c r="G152" s="72"/>
    </row>
    <row r="153" spans="1:7" ht="12.75">
      <c r="A153" s="72"/>
      <c r="B153" s="72"/>
      <c r="C153" s="72"/>
      <c r="D153" s="72"/>
      <c r="E153" s="223"/>
      <c r="F153" s="72"/>
      <c r="G153" s="72"/>
    </row>
    <row r="154" spans="1:7" ht="12.75">
      <c r="A154" s="72"/>
      <c r="B154" s="72"/>
      <c r="C154" s="72"/>
      <c r="D154" s="72"/>
      <c r="E154" s="223"/>
      <c r="F154" s="72"/>
      <c r="G154" s="72"/>
    </row>
    <row r="155" spans="1:7" ht="12.75">
      <c r="A155" s="72"/>
      <c r="B155" s="72"/>
      <c r="C155" s="72"/>
      <c r="D155" s="72"/>
      <c r="E155" s="223"/>
      <c r="F155" s="72"/>
      <c r="G155" s="72"/>
    </row>
    <row r="156" spans="6:7" ht="12.75">
      <c r="F156" s="72"/>
      <c r="G156" s="72"/>
    </row>
    <row r="157" spans="6:7" ht="12.75">
      <c r="F157" s="72"/>
      <c r="G157" s="72"/>
    </row>
    <row r="158" spans="6:7" ht="12.75">
      <c r="F158" s="72"/>
      <c r="G158" s="72"/>
    </row>
  </sheetData>
  <mergeCells count="4">
    <mergeCell ref="A1:G1"/>
    <mergeCell ref="A3:B3"/>
    <mergeCell ref="A4:B4"/>
    <mergeCell ref="E4:G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Luťhová Iveta</cp:lastModifiedBy>
  <cp:lastPrinted>2017-06-29T01:31:05Z</cp:lastPrinted>
  <dcterms:created xsi:type="dcterms:W3CDTF">2015-03-14T18:27:07Z</dcterms:created>
  <dcterms:modified xsi:type="dcterms:W3CDTF">2022-01-26T14:53:47Z</dcterms:modified>
  <cp:category/>
  <cp:version/>
  <cp:contentType/>
  <cp:contentStatus/>
</cp:coreProperties>
</file>