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5200" windowHeight="11985" activeTab="1"/>
  </bookViews>
  <sheets>
    <sheet name="Celkova_rekapitulace" sheetId="3" r:id="rId1"/>
    <sheet name="lekarna_SA" sheetId="4" r:id="rId2"/>
  </sheets>
  <definedNames>
    <definedName name="______SO16" localSheetId="0" hidden="1">{#N/A,#N/A,TRUE,"Krycí list"}</definedName>
    <definedName name="______SO16" localSheetId="1" hidden="1">{#N/A,#N/A,TRUE,"Krycí list"}</definedName>
    <definedName name="______SO16" hidden="1">{#N/A,#N/A,TRUE,"Krycí list"}</definedName>
    <definedName name="____SO16" localSheetId="0" hidden="1">{#N/A,#N/A,TRUE,"Krycí list"}</definedName>
    <definedName name="____SO16" localSheetId="1" hidden="1">{#N/A,#N/A,TRUE,"Krycí list"}</definedName>
    <definedName name="____SO16" hidden="1">{#N/A,#N/A,TRUE,"Krycí list"}</definedName>
    <definedName name="___SO16" localSheetId="0" hidden="1">{#N/A,#N/A,TRUE,"Krycí list"}</definedName>
    <definedName name="___SO16" localSheetId="1" hidden="1">{#N/A,#N/A,TRUE,"Krycí list"}</definedName>
    <definedName name="___SO16" hidden="1">{#N/A,#N/A,TRUE,"Krycí list"}</definedName>
    <definedName name="__SO16" localSheetId="0" hidden="1">{#N/A,#N/A,TRUE,"Krycí list"}</definedName>
    <definedName name="__SO16" localSheetId="1" hidden="1">{#N/A,#N/A,TRUE,"Krycí list"}</definedName>
    <definedName name="__SO16" hidden="1">{#N/A,#N/A,TRUE,"Krycí list"}</definedName>
    <definedName name="_Fill" localSheetId="0" hidden="1">#REF!</definedName>
    <definedName name="_Fill" localSheetId="1" hidden="1">#REF!</definedName>
    <definedName name="_Fill" hidden="1">#REF!</definedName>
    <definedName name="_SO16" localSheetId="0" hidden="1">{#N/A,#N/A,TRUE,"Krycí list"}</definedName>
    <definedName name="_SO16" localSheetId="1" hidden="1">{#N/A,#N/A,TRUE,"Krycí list"}</definedName>
    <definedName name="_SO16" hidden="1">{#N/A,#N/A,TRUE,"Krycí list"}</definedName>
    <definedName name="A" localSheetId="0" hidden="1">{#N/A,#N/A,TRUE,"Krycí list"}</definedName>
    <definedName name="A" localSheetId="1" hidden="1">{#N/A,#N/A,TRUE,"Krycí list"}</definedName>
    <definedName name="A" hidden="1">{#N/A,#N/A,TRUE,"Krycí list"}</definedName>
    <definedName name="aaa" localSheetId="0" hidden="1">{#N/A,#N/A,TRUE,"Krycí list"}</definedName>
    <definedName name="aaa" localSheetId="1" hidden="1">{#N/A,#N/A,TRUE,"Krycí list"}</definedName>
    <definedName name="aaa" hidden="1">{#N/A,#N/A,TRUE,"Krycí list"}</definedName>
    <definedName name="aaaaaaaa" localSheetId="0" hidden="1">{#N/A,#N/A,TRUE,"Krycí list"}</definedName>
    <definedName name="aaaaaaaa" localSheetId="1" hidden="1">{#N/A,#N/A,TRUE,"Krycí list"}</definedName>
    <definedName name="aaaaaaaa" hidden="1">{#N/A,#N/A,TRUE,"Krycí list"}</definedName>
    <definedName name="ababababa" localSheetId="0" hidden="1">{#N/A,#N/A,TRUE,"Krycí list"}</definedName>
    <definedName name="ababababa" localSheetId="1" hidden="1">{#N/A,#N/A,TRUE,"Krycí list"}</definedName>
    <definedName name="ababababa" hidden="1">{#N/A,#N/A,TRUE,"Krycí list"}</definedName>
    <definedName name="Albertovec" localSheetId="0" hidden="1">{#N/A,#N/A,TRUE,"Krycí list"}</definedName>
    <definedName name="Albertovec" localSheetId="1" hidden="1">{#N/A,#N/A,TRUE,"Krycí list"}</definedName>
    <definedName name="Albertovec" hidden="1">{#N/A,#N/A,TRUE,"Krycí list"}</definedName>
    <definedName name="B" localSheetId="0" hidden="1">{#N/A,#N/A,TRUE,"Krycí list"}</definedName>
    <definedName name="B" localSheetId="1" hidden="1">{#N/A,#N/A,TRUE,"Krycí list"}</definedName>
    <definedName name="B" hidden="1">{#N/A,#N/A,TRUE,"Krycí list"}</definedName>
    <definedName name="elktro_1" localSheetId="0" hidden="1">{#N/A,#N/A,TRUE,"Krycí list"}</definedName>
    <definedName name="elktro_1" localSheetId="1" hidden="1">{#N/A,#N/A,TRUE,"Krycí list"}</definedName>
    <definedName name="elktro_1" hidden="1">{#N/A,#N/A,TRUE,"Krycí list"}</definedName>
    <definedName name="FVCWREC" localSheetId="0" hidden="1">{#N/A,#N/A,TRUE,"Krycí list"}</definedName>
    <definedName name="FVCWREC" localSheetId="1" hidden="1">{#N/A,#N/A,TRUE,"Krycí list"}</definedName>
    <definedName name="FVCWREC" hidden="1">{#N/A,#N/A,TRUE,"Krycí list"}</definedName>
    <definedName name="mila" localSheetId="0" hidden="1">{#N/A,#N/A,TRUE,"Krycí list"}</definedName>
    <definedName name="mila" localSheetId="1" hidden="1">{#N/A,#N/A,TRUE,"Krycí list"}</definedName>
    <definedName name="mila" hidden="1">{#N/A,#N/A,TRUE,"Krycí list"}</definedName>
    <definedName name="nový" localSheetId="0" hidden="1">{#N/A,#N/A,TRUE,"Krycí list"}</definedName>
    <definedName name="nový" localSheetId="1" hidden="1">{#N/A,#N/A,TRUE,"Krycí list"}</definedName>
    <definedName name="nový" hidden="1">{#N/A,#N/A,TRUE,"Krycí list"}</definedName>
    <definedName name="_xlnm.Print_Area" localSheetId="0">'Celkova_rekapitulace'!$A$1:$D$31</definedName>
    <definedName name="_xlnm.Print_Area" localSheetId="1">'lekarna_SA'!$A$1:$G$321</definedName>
    <definedName name="rozp" localSheetId="0" hidden="1">{#N/A,#N/A,TRUE,"Krycí list"}</definedName>
    <definedName name="rozp" localSheetId="1" hidden="1">{#N/A,#N/A,TRUE,"Krycí list"}</definedName>
    <definedName name="rozp" hidden="1">{#N/A,#N/A,TRUE,"Krycí list"}</definedName>
    <definedName name="smaz" localSheetId="0" hidden="1">{#N/A,#N/A,TRUE,"Krycí list"}</definedName>
    <definedName name="smaz" localSheetId="1" hidden="1">{#N/A,#N/A,TRUE,"Krycí list"}</definedName>
    <definedName name="smaz" hidden="1">{#N/A,#N/A,TRUE,"Krycí list"}</definedName>
    <definedName name="soupis" localSheetId="0" hidden="1">{#N/A,#N/A,TRUE,"Krycí list"}</definedName>
    <definedName name="soupis" localSheetId="1" hidden="1">{#N/A,#N/A,TRUE,"Krycí list"}</definedName>
    <definedName name="soupis" hidden="1">{#N/A,#N/A,TRUE,"Krycí list"}</definedName>
    <definedName name="SSSSSS" localSheetId="0" hidden="1">{#N/A,#N/A,TRUE,"Krycí list"}</definedName>
    <definedName name="SSSSSS" localSheetId="1" hidden="1">{#N/A,#N/A,TRUE,"Krycí list"}</definedName>
    <definedName name="SSSSSS" hidden="1">{#N/A,#N/A,TRUE,"Krycí list"}</definedName>
    <definedName name="summary" localSheetId="0" hidden="1">{#N/A,#N/A,TRUE,"Krycí list"}</definedName>
    <definedName name="summary" localSheetId="1" hidden="1">{#N/A,#N/A,TRUE,"Krycí list"}</definedName>
    <definedName name="summary" hidden="1">{#N/A,#N/A,TRUE,"Krycí list"}</definedName>
    <definedName name="VIZA" localSheetId="0" hidden="1">{#N/A,#N/A,TRUE,"Krycí list"}</definedName>
    <definedName name="VIZA" localSheetId="1" hidden="1">{#N/A,#N/A,TRUE,"Krycí list"}</definedName>
    <definedName name="VIZA" hidden="1">{#N/A,#N/A,TRUE,"Krycí list"}</definedName>
    <definedName name="VIZA12" localSheetId="0" hidden="1">{#N/A,#N/A,TRUE,"Krycí list"}</definedName>
    <definedName name="VIZA12" localSheetId="1" hidden="1">{#N/A,#N/A,TRUE,"Krycí list"}</definedName>
    <definedName name="VIZA12" hidden="1">{#N/A,#N/A,TRUE,"Krycí list"}</definedName>
    <definedName name="viza2" localSheetId="0" hidden="1">{#N/A,#N/A,TRUE,"Krycí list"}</definedName>
    <definedName name="viza2" localSheetId="1" hidden="1">{#N/A,#N/A,TRUE,"Krycí list"}</definedName>
    <definedName name="viza2" hidden="1">{#N/A,#N/A,TRUE,"Krycí list"}</definedName>
    <definedName name="VN" localSheetId="0" hidden="1">{#N/A,#N/A,TRUE,"Krycí list"}</definedName>
    <definedName name="VN" localSheetId="1" hidden="1">{#N/A,#N/A,TRUE,"Krycí list"}</definedName>
    <definedName name="VN" hidden="1">{#N/A,#N/A,TRUE,"Krycí list"}</definedName>
    <definedName name="wrn.Kontrolní._.rozpočet." localSheetId="0" hidden="1">{#N/A,#N/A,TRUE,"Krycí list"}</definedName>
    <definedName name="wrn.Kontrolní._.rozpočet." localSheetId="1" hidden="1">{#N/A,#N/A,TRUE,"Krycí list"}</definedName>
    <definedName name="wrn.Kontrolní._.rozpočet." hidden="1">{#N/A,#N/A,TRUE,"Krycí list"}</definedName>
    <definedName name="wrn.Kontrolní._.rozpoeet." localSheetId="0" hidden="1">{#N/A,#N/A,TRUE,"Krycí list"}</definedName>
    <definedName name="wrn.Kontrolní._.rozpoeet." localSheetId="1" hidden="1">{#N/A,#N/A,TRUE,"Krycí list"}</definedName>
    <definedName name="wrn.Kontrolní._.rozpoeet." hidden="1">{#N/A,#N/A,TRUE,"Krycí list"}</definedName>
    <definedName name="_xlnm.Print_Titles" localSheetId="0">'Celkova_rekapitulace'!$1:$5</definedName>
    <definedName name="_xlnm.Print_Titles" localSheetId="1">'lekarna_SA'!$1:$6</definedName>
  </definedNames>
  <calcPr calcId="152511"/>
</workbook>
</file>

<file path=xl/sharedStrings.xml><?xml version="1.0" encoding="utf-8"?>
<sst xmlns="http://schemas.openxmlformats.org/spreadsheetml/2006/main" count="589" uniqueCount="429">
  <si>
    <t>Projektant:</t>
  </si>
  <si>
    <t>Soupis výkonů</t>
  </si>
  <si>
    <t>Investor:</t>
  </si>
  <si>
    <t>Zpracoval: 
Z. Sychrová</t>
  </si>
  <si>
    <t>Projekt :</t>
  </si>
  <si>
    <t>Číslo pozice</t>
  </si>
  <si>
    <t>SOUPIS VÝKONŮ</t>
  </si>
  <si>
    <t>Měrná jednotka</t>
  </si>
  <si>
    <t>Množství</t>
  </si>
  <si>
    <t>Jednotková cena</t>
  </si>
  <si>
    <t>Cena CZK bez DPH</t>
  </si>
  <si>
    <t>Poznámka:</t>
  </si>
  <si>
    <t>1) Při zpracování nabídky je nutné využít všech částí (dílů) projektu pro provádění stavby (zák. č. 137/2006 Sb., §44, odst. (4), písm. a), tj. technické zprávy, seznamu pozic, všech výkresů, tabulek a specifikací materiálů.</t>
  </si>
  <si>
    <t xml:space="preserve">2) Součástí nabídkové ceny musí být veškeré náklady, aby cena byla konečná a zahrnovala celou dodávku a montáž. </t>
  </si>
  <si>
    <t xml:space="preserve">3) Každá uchazečem vyplněná položka musí obsahovat veškeré technicky a logicky dovoditélné součásti dodávky a montáže (včetně údajů o podmínkách a úhradě licencí potřebných SW). </t>
  </si>
  <si>
    <t xml:space="preserve">4) Dodávky a montáže uvedené v nabídce musí být, včetně veškerého souvisejícího doplňkového, podružného a montážního materiálu, tak, aby celé zařízení bylo funkční a splňovalo všechny předpisy, které se na ně vztahují.  </t>
  </si>
  <si>
    <t xml:space="preserve">5) Označení výrobků konkrétním výrobcem v projektu pro provádění stavby vyjadřuje standard požadované kvality (zák. č. 137/2006 Sb, §44, odst. (9). </t>
  </si>
  <si>
    <t>6)Pokud uchazeč nabídne produkt od jiného výrobce je povinen dodržet standard a zároveň, přejímá odpovědnost za správnost náhrady - splnění všech parametrů a koordinaci se všemi navazujícími profesemi, eventuelní nutnost úpravy projektu pro výběr zhotovitele půjde k tíží uchazeče (vybraného dodavatele).</t>
  </si>
  <si>
    <t>7) Součástí cenové nabídky je i likvidace obalového materiálu</t>
  </si>
  <si>
    <t>8) Před započetím výroby a montáže je nutné prověřit navržené potrubní trasy vzhledem ke skutečnému stavu stavby</t>
  </si>
  <si>
    <t>REKAPITULACE</t>
  </si>
  <si>
    <t>3</t>
  </si>
  <si>
    <t>CELKEM SOUPIS VÝKONŮ bez DPH</t>
  </si>
  <si>
    <t>1</t>
  </si>
  <si>
    <t>9</t>
  </si>
  <si>
    <t>Bourání</t>
  </si>
  <si>
    <t>m2</t>
  </si>
  <si>
    <t>1.NP</t>
  </si>
  <si>
    <t>m3</t>
  </si>
  <si>
    <t>ks</t>
  </si>
  <si>
    <t>2.NP</t>
  </si>
  <si>
    <t>m</t>
  </si>
  <si>
    <t>Odvoz suti a vybouraných hmot na skládku nebo meziskládku do 1 km se složením</t>
  </si>
  <si>
    <t>t</t>
  </si>
  <si>
    <t>CELKEM</t>
  </si>
  <si>
    <t>2</t>
  </si>
  <si>
    <t>2.3</t>
  </si>
  <si>
    <t>4</t>
  </si>
  <si>
    <t>3.1</t>
  </si>
  <si>
    <t>Poznámka</t>
  </si>
  <si>
    <t>61</t>
  </si>
  <si>
    <t>4.1</t>
  </si>
  <si>
    <t>okna</t>
  </si>
  <si>
    <t>5</t>
  </si>
  <si>
    <t>5.1</t>
  </si>
  <si>
    <t>6</t>
  </si>
  <si>
    <t>6.1</t>
  </si>
  <si>
    <t>7</t>
  </si>
  <si>
    <t>7.1</t>
  </si>
  <si>
    <t>7.2</t>
  </si>
  <si>
    <t>7.3</t>
  </si>
  <si>
    <t>7.4</t>
  </si>
  <si>
    <t>8</t>
  </si>
  <si>
    <t>9.1</t>
  </si>
  <si>
    <t>9.2</t>
  </si>
  <si>
    <t>9.3</t>
  </si>
  <si>
    <t>9.5</t>
  </si>
  <si>
    <t>9.6</t>
  </si>
  <si>
    <t>%</t>
  </si>
  <si>
    <t>10</t>
  </si>
  <si>
    <t>10.1</t>
  </si>
  <si>
    <t>soubor</t>
  </si>
  <si>
    <t>10.4</t>
  </si>
  <si>
    <t>10.5</t>
  </si>
  <si>
    <t>11</t>
  </si>
  <si>
    <t>12</t>
  </si>
  <si>
    <t>764</t>
  </si>
  <si>
    <t>Konstrukce klempířské</t>
  </si>
  <si>
    <t>12.7</t>
  </si>
  <si>
    <t>12.8</t>
  </si>
  <si>
    <t>Přesun hmot pro klempířské konstr., výšky do 12 m</t>
  </si>
  <si>
    <t>13</t>
  </si>
  <si>
    <t>771</t>
  </si>
  <si>
    <t>13.1</t>
  </si>
  <si>
    <t>13.2</t>
  </si>
  <si>
    <t>784</t>
  </si>
  <si>
    <t>Malby</t>
  </si>
  <si>
    <t>Nátěry</t>
  </si>
  <si>
    <t>17.1</t>
  </si>
  <si>
    <t>17.2</t>
  </si>
  <si>
    <t>Jiné materiály, montáž, atd., neuvedené výše, ale které je nutné zahrnout do celkového rozsahu prací podle výkresů a praxe dodavatele.</t>
  </si>
  <si>
    <t>CELKEM SOUPIS VÝKONŮ</t>
  </si>
  <si>
    <t xml:space="preserve">9) Součástí dodávky je i dokumentace skutečného provedení </t>
  </si>
  <si>
    <t>34</t>
  </si>
  <si>
    <t>Stěny a příčky</t>
  </si>
  <si>
    <t>Úpravy povrchů vnitřní</t>
  </si>
  <si>
    <t>8.2</t>
  </si>
  <si>
    <t>Omítka vnitřní zdiva, MVC, štuková</t>
  </si>
  <si>
    <t>62</t>
  </si>
  <si>
    <t>Úprava povrchů vnější</t>
  </si>
  <si>
    <t>Zakrývání výplní vnějších otvorů z lešení</t>
  </si>
  <si>
    <t>63</t>
  </si>
  <si>
    <t>Podlahy a podlahové konstrukce</t>
  </si>
  <si>
    <t>641</t>
  </si>
  <si>
    <t>mb</t>
  </si>
  <si>
    <t>642</t>
  </si>
  <si>
    <t>Dveře</t>
  </si>
  <si>
    <t>09</t>
  </si>
  <si>
    <t>Ostatní konstrukce a práce</t>
  </si>
  <si>
    <t>Montáž lešení leh.řad.s podlahami,š.do 1 m, H 10 m</t>
  </si>
  <si>
    <t>Příplatek za každý měsíc použití lešení k pol.1031</t>
  </si>
  <si>
    <t>Demontáž lešení leh.řad.s podlahami,š.1 m, H 10 m</t>
  </si>
  <si>
    <t>Lešení lehké pomocné, výška podlahy do 1,2 m</t>
  </si>
  <si>
    <t>Vyčištění budov o výšce podlaží do 4 m</t>
  </si>
  <si>
    <t>Přesun hmot pro budovy zděné výšky do 12 m</t>
  </si>
  <si>
    <t>17.5</t>
  </si>
  <si>
    <t>767</t>
  </si>
  <si>
    <t>Konstrukce zámečnické</t>
  </si>
  <si>
    <t>Přesun hmot pro zámečnické konstr., výšky do 12 m</t>
  </si>
  <si>
    <t>Podlahy z dlaždic</t>
  </si>
  <si>
    <t>Montáž podlah keram.,hladké, tmel, 30x30 cm</t>
  </si>
  <si>
    <t>783</t>
  </si>
  <si>
    <t xml:space="preserve">Penetrace podkladu hloubková </t>
  </si>
  <si>
    <t>Malba tekutá Primalex Fortisimo, barva, 2 x</t>
  </si>
  <si>
    <t>Geodetické práce (vytyčení, průběžné zaměřování, geometrické zaměření skutečného stavu)</t>
  </si>
  <si>
    <t>979 08-1111.R00</t>
  </si>
  <si>
    <t>979 99-0102.R00</t>
  </si>
  <si>
    <t>Poplatek za skládku suti - směs betonu a cihel</t>
  </si>
  <si>
    <t>979 08-1121.R00</t>
  </si>
  <si>
    <t>dveře</t>
  </si>
  <si>
    <t>979 99-0162.R00</t>
  </si>
  <si>
    <t>Poplatek za skládku suti - dřevo+sklo</t>
  </si>
  <si>
    <t>978 01-5291.R00</t>
  </si>
  <si>
    <t>Otlučení omítek vnějších MVC v složit.1-4 do 100 %</t>
  </si>
  <si>
    <t>97_</t>
  </si>
  <si>
    <t>9_</t>
  </si>
  <si>
    <t>01_</t>
  </si>
  <si>
    <t>Otlučení omítek vnitřních stěn v rozsahu do 100 %</t>
  </si>
  <si>
    <t>978 01-3191.R00</t>
  </si>
  <si>
    <t>612 42-1637.R00</t>
  </si>
  <si>
    <t>622 48-1211.RT2</t>
  </si>
  <si>
    <t>Montáž výztužné sítě (perlinky) do stěrky-stěny</t>
  </si>
  <si>
    <t>622 47-2162.R00</t>
  </si>
  <si>
    <t>Omítka stěn vnější z MS silikonová slož. II.ručně vč.jádra</t>
  </si>
  <si>
    <t>620 99-1121.R00</t>
  </si>
  <si>
    <t>941 95-5001.R00</t>
  </si>
  <si>
    <t>941 94-1031.R00</t>
  </si>
  <si>
    <t>941 94-1191.R00</t>
  </si>
  <si>
    <t>941 94-1831.R00</t>
  </si>
  <si>
    <t>712 37-1801.RZ4</t>
  </si>
  <si>
    <t>771 10-1210.RT1</t>
  </si>
  <si>
    <t>Penetrace podkladu pod dlažby</t>
  </si>
  <si>
    <t>Přesun hmot  pro podlahy z dlaždic v objektech v do 12  m</t>
  </si>
  <si>
    <t>998 76-7202.R00</t>
  </si>
  <si>
    <t>784 19-1201.R00</t>
  </si>
  <si>
    <t>784 19-5322.R00</t>
  </si>
  <si>
    <t>952 90-1111.R00</t>
  </si>
  <si>
    <t>998 01-1002.R00</t>
  </si>
  <si>
    <r>
      <rPr>
        <b/>
        <sz val="9"/>
        <rFont val="Arial"/>
        <family val="2"/>
      </rPr>
      <t>AZ PROJECT spol. s r.o.  projektová a inženýrská kancelář</t>
    </r>
    <r>
      <rPr>
        <sz val="9"/>
        <rFont val="Arial"/>
        <family val="2"/>
      </rPr>
      <t xml:space="preserve">
 Plynárenská 830
 280 02  Kolín IV  </t>
    </r>
  </si>
  <si>
    <t xml:space="preserve">                                              </t>
  </si>
  <si>
    <t>REKAPITULACE CENY</t>
  </si>
  <si>
    <t>SO</t>
  </si>
  <si>
    <t>Cena
CZK</t>
  </si>
  <si>
    <t>revize</t>
  </si>
  <si>
    <t>Kč celkem</t>
  </si>
  <si>
    <t>Celkem 1:</t>
  </si>
  <si>
    <t>Projektová dokumentace</t>
  </si>
  <si>
    <t>TDI , BOZ</t>
  </si>
  <si>
    <t>Celkem 2:</t>
  </si>
  <si>
    <t>Cena celkem /CZK/ bez DPH</t>
  </si>
  <si>
    <t>DPH  21%</t>
  </si>
  <si>
    <t>Konečná cena /CZK/ vč. DPH</t>
  </si>
  <si>
    <t>Jméno společnosti:</t>
  </si>
  <si>
    <t>Zodpovědná osoba :</t>
  </si>
  <si>
    <t>Podpis:</t>
  </si>
  <si>
    <t>Datum:</t>
  </si>
  <si>
    <t>datum:</t>
  </si>
  <si>
    <r>
      <rPr>
        <b/>
        <sz val="10"/>
        <rFont val="Arial"/>
        <family val="2"/>
      </rPr>
      <t>AZ PROJECT spol. s r.o.  projektová a inženýrská kancelář</t>
    </r>
    <r>
      <rPr>
        <sz val="10"/>
        <rFont val="Arial"/>
        <family val="2"/>
      </rPr>
      <t xml:space="preserve">
 Plynárenská 830
 280 02  Kolín IV  </t>
    </r>
  </si>
  <si>
    <t>Město Kolín,
Karlovo náměstí 78, 280 12 Kolín I</t>
  </si>
  <si>
    <t>kg</t>
  </si>
  <si>
    <t>sloup  101,6/4     dl.4 750 mm  3 ks   celkem  14 250 mm</t>
  </si>
  <si>
    <t>trám  80/160/5    dl. 3 000 mm  2 ks  celkem     6 000 mm</t>
  </si>
  <si>
    <t>vaznička 160/8    dl. 3 700 mm  6 ks  celkem   22 200 mm</t>
  </si>
  <si>
    <t>madlo    42,4/5   dl.      260 mm,    3 ks    celkem     780 mm</t>
  </si>
  <si>
    <t>madlo    42,4/5   dl   1 300 mm,    3 ks    celkem   3 900 mm</t>
  </si>
  <si>
    <t>madlo    42,4/5   dl.     750 mm,    1 ks    celkem      750 mm</t>
  </si>
  <si>
    <t>sloupek 44,5/4   dl.      900 mm,   1 ks    celkem      900 mm</t>
  </si>
  <si>
    <t xml:space="preserve">madlo    42,4/5   dl.   1 900 mm,   3 ks    celkem  5 700 mm     </t>
  </si>
  <si>
    <t>L 1</t>
  </si>
  <si>
    <t>L 2</t>
  </si>
  <si>
    <t>Okno plastové- izolační dvojsklo, dvoukřídlové, s poutcem v horní třetině, horní díl - pevné zasklení, spodní díl - otevíravé a sklápěcí, barva - bílá
rozměr 1500 x 2900 mm</t>
  </si>
  <si>
    <t>Okno plastové- izolační dvojsklo, osmikřídlové, se sloupkem, s poutcem v horní třetině, horní křídla - pevné zasklení, spodní křídla - otevíravé a sklápěcí, barva - bílá
rozměr 5500 x 2900 mm</t>
  </si>
  <si>
    <t>L 3</t>
  </si>
  <si>
    <t>Okno plastové- izolační dvojsklo, čtyřkřídlové, se svislým sloupkem v polovině okna, s poutcem v horní třetině, horní křídlo - pevné zasklení, spodní křídlo - otevíravé a
sklápěcí, barva - bílá
rozměr 2750 x 2900 mm</t>
  </si>
  <si>
    <t>L 4</t>
  </si>
  <si>
    <t>Okno plastové- izolační dvojsklo,se sloupkem, dvoukřídlové, otevíravé a sklápěcí, barva - bílá
rozměr 2600 x 1800 mm</t>
  </si>
  <si>
    <t>L 5</t>
  </si>
  <si>
    <t>Okno plastové - čtyřkřídlové, se sloupkem v polovině okna, s
poutcem v dolní třetině, otevíravé a sklápěcí, spodní křídla sklápěcí, zasklená bezpečnostním sklem, barva - bílá
rozměr 3100 x 2900 mm</t>
  </si>
  <si>
    <t>L 6</t>
  </si>
  <si>
    <t>L 7</t>
  </si>
  <si>
    <t>Okno plastové -izolační dvojsklo, dvoukřídlové, se sloupkem v polovině okna, otevíravé a sklápěcí, barva - bílá
rozměr 2500 x 2100 mm</t>
  </si>
  <si>
    <t>Okno plastové - izolační dvojsklo, jednokřídlové, otevíravé a sklápěcí, barva - bílá
rozměr 1500 x 2100 mm</t>
  </si>
  <si>
    <t>L 8</t>
  </si>
  <si>
    <t>Okno plastové -izolační dvojsklo, šestikřídlové, se sloupkem v polovině okna s dvěma poutci ve střední části, otevíravé a
sklápěcí, barva - bílá, ovládání pákovým
mechanismem z úrovně podlahy 
rozměr 2600 x 5000 mm</t>
  </si>
  <si>
    <t>Povrchovou úpravu, členění včetně způsobu provedení mřížek, prosklení, kování upřesní investor při realizaci stavby.
Součinitel prostupu tepla Uw max. 1,2 W/m2K.
Kování bude provedeno jako celoobvodové s mikroventilací</t>
  </si>
  <si>
    <t>Okna lékárna</t>
  </si>
  <si>
    <t>Před zadáním výplní otvorů do výroby je bezpodmínečně nutné, aby výrobce osobně ověřil velikost stávajících otvorů a upřesnil s dodavatelem stavební části definitivní velikost výplní otvorů, řešení ostění, parapetů a nadpraží, členění výplní otvorů, kování, způsob otevírání a zastiňující prvky (žaluzie, atd.)!!!</t>
  </si>
  <si>
    <t>LD1</t>
  </si>
  <si>
    <t>LD2</t>
  </si>
  <si>
    <t>LD3</t>
  </si>
  <si>
    <t>plastová sestava, se vstupními exteriérovými dveřmi, dveře dvoukřídlové asymetrické prosklené, hlavní křídlo 900/1970
mm, nadsvětlík - pevné zasklení, bezpečnostní
sklo, bezpečnostní zámek, barva - bílá
rozměr  1400 x 3900 mm</t>
  </si>
  <si>
    <t>Dveře lékárna</t>
  </si>
  <si>
    <t>Povrchovou úpravu, členění, prosklení, kování, typ zárubní, použití prahů - upřesní investor při realizaci stavby. Před zadáním výplní otvorů do výroby výrobce prověří skutečné provedení otvorů !!!</t>
  </si>
  <si>
    <t>Součinitel prostupu tepla vstupních dveří max. UD=1,7 W/m2K, Prosklení dveří bude v provedení bezpečnostním sklem.</t>
  </si>
  <si>
    <r>
      <rPr>
        <b/>
        <sz val="9"/>
        <rFont val="Arial CE"/>
        <family val="2"/>
      </rPr>
      <t>KL 1  -</t>
    </r>
    <r>
      <rPr>
        <sz val="9"/>
        <rFont val="Arial CE"/>
        <family val="2"/>
      </rPr>
      <t xml:space="preserve"> Venkovní okenní parapetní ocelový pozinkovaný plech poplastovaný tl.0,5mm, délka 1500 mm, RŠ 220 mm, barva: hnědá</t>
    </r>
  </si>
  <si>
    <r>
      <rPr>
        <b/>
        <sz val="9"/>
        <rFont val="Arial CE"/>
        <family val="2"/>
      </rPr>
      <t>KL 2  -</t>
    </r>
    <r>
      <rPr>
        <sz val="9"/>
        <rFont val="Arial CE"/>
        <family val="2"/>
      </rPr>
      <t xml:space="preserve"> Venkovní okenní parapetní ocelový pozinkovaný plech poplastovaný tl.0,5mm, délka 5500 mm, RŠ 220 mm, barva: hnědá</t>
    </r>
  </si>
  <si>
    <r>
      <rPr>
        <b/>
        <sz val="9"/>
        <rFont val="Arial CE"/>
        <family val="2"/>
      </rPr>
      <t>KL 3  -</t>
    </r>
    <r>
      <rPr>
        <sz val="9"/>
        <rFont val="Arial CE"/>
        <family val="2"/>
      </rPr>
      <t xml:space="preserve"> Venkovní okenní parapetní ocelový pozinkovaný plech poplastovaný tl.0,5mm, délka 2750 mm, RŠ 270 mm, barva: hnědá</t>
    </r>
  </si>
  <si>
    <t>Veškeré prvky nutno zaměřit před zadáním do výroby !!!!!!</t>
  </si>
  <si>
    <r>
      <rPr>
        <b/>
        <sz val="9"/>
        <rFont val="Arial CE"/>
        <family val="2"/>
      </rPr>
      <t>KL 5  -</t>
    </r>
    <r>
      <rPr>
        <sz val="9"/>
        <rFont val="Arial CE"/>
        <family val="2"/>
      </rPr>
      <t xml:space="preserve"> Venkovní okenní parapetní ocelový pozinkovaný plech poplastovaný tl.0,5mm, délka 2500 mm, RŠ 270 mm, barva: hnědá</t>
    </r>
  </si>
  <si>
    <r>
      <rPr>
        <b/>
        <sz val="9"/>
        <rFont val="Arial CE"/>
        <family val="2"/>
      </rPr>
      <t>KL 6  -</t>
    </r>
    <r>
      <rPr>
        <sz val="9"/>
        <rFont val="Arial CE"/>
        <family val="2"/>
      </rPr>
      <t xml:space="preserve"> Žlab půlkruhový -  ocelový pozinkovaný plech poplastovaný tl.0,5mm, RŠ330 mm, barva: hnědá</t>
    </r>
  </si>
  <si>
    <r>
      <rPr>
        <b/>
        <sz val="9"/>
        <rFont val="Arial CE"/>
        <family val="2"/>
      </rPr>
      <t>KL 7  -</t>
    </r>
    <r>
      <rPr>
        <sz val="9"/>
        <rFont val="Arial CE"/>
        <family val="2"/>
      </rPr>
      <t xml:space="preserve">Dešťový svod  </t>
    </r>
    <r>
      <rPr>
        <sz val="9"/>
        <rFont val="Calibri"/>
        <family val="2"/>
      </rPr>
      <t>Ø</t>
    </r>
    <r>
      <rPr>
        <sz val="9"/>
        <rFont val="Arial CE"/>
        <family val="2"/>
      </rPr>
      <t xml:space="preserve"> 100 -  ocelový pozinkovaný plech poplastovaný tl.0,5mm, RŠ330 mm, barva: hnědá</t>
    </r>
  </si>
  <si>
    <t>Lékárna  - klempířské výrobky</t>
  </si>
  <si>
    <t>Nové vstupní dveře budou osazeny do polohy původních dveří. Vstupní dveře budou vybaveny dorazovým těsněním doplněným kartáčkem a bezpečnostním zámkem vložkovým.</t>
  </si>
  <si>
    <t>965 08-1713.R00</t>
  </si>
  <si>
    <t>Bourání dlaždic keramických tl. 1 cm, nad 1 m2</t>
  </si>
  <si>
    <t>968 06-2247.R00</t>
  </si>
  <si>
    <t>Vybourání dřevěných rámů oken jednoduch. nad 4 m2</t>
  </si>
  <si>
    <t>767 63-1800.R00</t>
  </si>
  <si>
    <t>Demontáž oken pro beztmelé zasklení,vč.zasklení - meziokenní vložky</t>
  </si>
  <si>
    <t>784 40-2801.R00</t>
  </si>
  <si>
    <t>Odstranění malby oškrábáním v místnosti H do 3,8 m</t>
  </si>
  <si>
    <t>968 06-1113.R00</t>
  </si>
  <si>
    <t>Vyvěšení dřevěných okenních křídel pl. nad 1,5 m2</t>
  </si>
  <si>
    <t>767 99-6801.R00</t>
  </si>
  <si>
    <t>Demontáž atypických ocelových konstr. do 50 kg - zábradlí</t>
  </si>
  <si>
    <t>rampa</t>
  </si>
  <si>
    <t>Září 2016</t>
  </si>
  <si>
    <t xml:space="preserve">Architektonicko stavební část </t>
  </si>
  <si>
    <t>1.1</t>
  </si>
  <si>
    <t>1.2</t>
  </si>
  <si>
    <t>1.3</t>
  </si>
  <si>
    <t>1.4</t>
  </si>
  <si>
    <t>1.5</t>
  </si>
  <si>
    <t>1.6</t>
  </si>
  <si>
    <t>2.1</t>
  </si>
  <si>
    <t>2.2</t>
  </si>
  <si>
    <t>7.5</t>
  </si>
  <si>
    <t>7.6</t>
  </si>
  <si>
    <t>7.7</t>
  </si>
  <si>
    <t>Ukončovací lišta nerez s oblou hranou  D+M</t>
  </si>
  <si>
    <t>711 21-0020.RAA</t>
  </si>
  <si>
    <t>Stěrka hydroizolační těsnicí hmotou Aquafin 2 K, proti vlhkosti, pružná hydroizolace</t>
  </si>
  <si>
    <t>771 57-5109.R00</t>
  </si>
  <si>
    <t>597-642030R</t>
  </si>
  <si>
    <t>R 04</t>
  </si>
  <si>
    <t>998 77-1201.R00</t>
  </si>
  <si>
    <t>Rekonstrukce lékárny</t>
  </si>
  <si>
    <r>
      <rPr>
        <b/>
        <sz val="9"/>
        <rFont val="Arial CE"/>
        <family val="2"/>
      </rPr>
      <t xml:space="preserve">KL 8  - </t>
    </r>
    <r>
      <rPr>
        <sz val="9"/>
        <rFont val="Arial CE"/>
        <family val="2"/>
      </rPr>
      <t>Přechodová lišta  -  ocelový pozinkovaný plech poplastovaný tl.0,5mm,délka 1850 mm, RŠ 190 mm, barva: hnědá</t>
    </r>
  </si>
  <si>
    <t>0,5*2,1*8</t>
  </si>
  <si>
    <t>1,5*3,9*2</t>
  </si>
  <si>
    <t>5,9*3,9*3</t>
  </si>
  <si>
    <t>2,75*3,9*1</t>
  </si>
  <si>
    <t>2,6*1,8*1</t>
  </si>
  <si>
    <t>3,1*2,9*1</t>
  </si>
  <si>
    <t>1,5*2,1*2</t>
  </si>
  <si>
    <t>2,55*2,1*8</t>
  </si>
  <si>
    <t>2,6*5,0*1</t>
  </si>
  <si>
    <t>hliníková sestava  se vstupními exteriérovými dveřmi, dveře
dvoukřídlové vodorovně posuvné, prosklené, ostatní dílce - pevné zasklení, bezpečnostní sklo, bezpečnostní zámek, barva - bílá, automaticky otevírané na fotobuňku, s elektrickým pohonem  možnost mechanického otevření při výpadku el. proudu
rozměr  3100+1500 x 3900 mm</t>
  </si>
  <si>
    <t>hliníková sestava  se vstupními dveřmi, dveře dvoukřídlové posuvné, 1500/2100 mm, prosklené, ostatní dílce - pevné zasklení, bezpečnostní sklo, bezpečnostní zámek, barva -
bílá, automaticky  otevírané na fotobuňku, s elektrickým pohonem  možnost mechanického otevření při výpadku el. proudu
rozměr  3100 x 3900 mm</t>
  </si>
  <si>
    <t>Demontáž parapetních plechů</t>
  </si>
  <si>
    <t xml:space="preserve">Kotvení zděných dílců do stávajících okolních konstrukci bude provedeno pomocí ocelových nerezových pásků a kotev. </t>
  </si>
  <si>
    <t>Doplnění rozváděče, napojení el.ovládání dveří</t>
  </si>
  <si>
    <t>LD 1</t>
  </si>
  <si>
    <t>LD 2</t>
  </si>
  <si>
    <t>LD 3</t>
  </si>
  <si>
    <t>4,6*3,9*1</t>
  </si>
  <si>
    <t>3,1*3,9</t>
  </si>
  <si>
    <t>1,4*3,9</t>
  </si>
  <si>
    <t>Demontáž a zpětná montáž VZT jednotky</t>
  </si>
  <si>
    <t>((1,0*1,5)/2)*2+1,9*1,0+0,5*1,0</t>
  </si>
  <si>
    <t>13,55*2+1,5*2+5,9*3+2,75*1</t>
  </si>
  <si>
    <t>1,5*1*2+5,9*1,0*3+2,75*1,0*1</t>
  </si>
  <si>
    <t>0,77*2+0,84*1,6</t>
  </si>
  <si>
    <t>311 23-8114.R00</t>
  </si>
  <si>
    <t>Zdivo POROTHERM 24 P+D P15 na MC 10, tl. 240 mm</t>
  </si>
  <si>
    <t>764 41-0850.R00</t>
  </si>
  <si>
    <t>4,7*0,06</t>
  </si>
  <si>
    <t>965 04-2141.RT3</t>
  </si>
  <si>
    <t>Bourání mazanin betonových tl. 10 cm, nad 4 m2, sbíječka tl. mazaniny  6 cm</t>
  </si>
  <si>
    <t>podesta</t>
  </si>
  <si>
    <t>620 90-2121.R00</t>
  </si>
  <si>
    <t>Opracování bet. konstrukcí broušením</t>
  </si>
  <si>
    <t>-</t>
  </si>
  <si>
    <t>schody</t>
  </si>
  <si>
    <t>0,167*1,5*6+0,3*1,5*5</t>
  </si>
  <si>
    <t>19,2*3,9*2+19,2*3,2*2-185,2-5,46-8,4+40,22</t>
  </si>
  <si>
    <t>968 09-5001.R00</t>
  </si>
  <si>
    <t>Bourání parapetů dřevěných š. do 25 cm</t>
  </si>
  <si>
    <t xml:space="preserve">m </t>
  </si>
  <si>
    <t>2,6+3,1+1,5*2+2,55*8</t>
  </si>
  <si>
    <t>Příplatek k odvozu za každý další 1 km  -  10 km</t>
  </si>
  <si>
    <t>Prodej kov.konstrukcí do Kovošrotu</t>
  </si>
  <si>
    <t>979 r01</t>
  </si>
  <si>
    <t>311 27-1177.RT2</t>
  </si>
  <si>
    <t>Zdivo z tvárnic Ytong hladkých tl. 30 cm</t>
  </si>
  <si>
    <t>Povlaková krytina střech do 10°, fólií PVC, 1 vrstva - včetně dod. fólie Fatrafol 810 tl.1,5mm, celoplošně lepená</t>
  </si>
  <si>
    <t xml:space="preserve">Střecha </t>
  </si>
  <si>
    <r>
      <rPr>
        <b/>
        <sz val="9"/>
        <rFont val="Arial CE"/>
        <family val="2"/>
      </rPr>
      <t>KL 4  -</t>
    </r>
    <r>
      <rPr>
        <sz val="9"/>
        <rFont val="Arial CE"/>
        <family val="2"/>
      </rPr>
      <t xml:space="preserve"> Venkovní okenní parapetní ocelový pozinkovaný plech poplastovaný tl.0,5mm, délka 1500 mm, RŠ 270 mm, barva: hnědá</t>
    </r>
  </si>
  <si>
    <t>(1,5+2,9)*2*2+(5,5+2,9)*2*3+(2,75+2,9)*2*1+(2,6+1,8)*2*1+(3,1+2,9)*2*1+(1,5+2,1)*2*2+(2,5+2,1)*2*8+(2,6+5)*2*1</t>
  </si>
  <si>
    <t>607-75510R</t>
  </si>
  <si>
    <t>Parapet interiér PVC šíře 150mm dl. 6m fólie mram.</t>
  </si>
  <si>
    <t>((1,5)*2+(5,5)*3+(2,75)*1+(2,6)*1+(3,1)*1+(1,5)*2+(2,5)*8+(2,6)*1)*1,2</t>
  </si>
  <si>
    <t>766 69-4114.R00</t>
  </si>
  <si>
    <t>Montáž parapetních desek š.do 30 cm,dl.nad 260 cm</t>
  </si>
  <si>
    <t>kus</t>
  </si>
  <si>
    <t>Montáž parapetních desek š.do 30 cm,dl.do 260 cm</t>
  </si>
  <si>
    <t>Montáž parapetních desek š.do 30 cm,dl.do 160 cm</t>
  </si>
  <si>
    <t>2+2</t>
  </si>
  <si>
    <t>1+8+1</t>
  </si>
  <si>
    <t>3+1+1</t>
  </si>
  <si>
    <t>764 77-8113.R00</t>
  </si>
  <si>
    <t>764 77-8106.R00</t>
  </si>
  <si>
    <t xml:space="preserve"> Kotlík žlabový kulatý, žlab 333 mm, D 100mm</t>
  </si>
  <si>
    <t>764 77-8122.R00</t>
  </si>
  <si>
    <t>764 77-5308.R00</t>
  </si>
  <si>
    <t>Přístřešek nerez vč.montáže</t>
  </si>
  <si>
    <t>Vstup zábradlí schodiště  nerez vč.montáže</t>
  </si>
  <si>
    <t>Dodávka a montáž čistící zóny u vstupu vnitřní  450x600 mm</t>
  </si>
  <si>
    <t>Osazení rámů oken plastových
včetně všech funkčních pásek (int.strana - parotěsná vrstva
ext.strana - paropropustná vrstva)</t>
  </si>
  <si>
    <t>Osazení rámů vchod. dveří 
včetně funkčních pásek (int.strana - parotěsná vrstva
ext.strana - paropropustná vrstva)</t>
  </si>
  <si>
    <t>(4,6+3,9)*2+(3,1+3,9)*2+(1,4+3,9)*2</t>
  </si>
  <si>
    <t>0,8*2,1*8</t>
  </si>
  <si>
    <t>612 40-9991.RT2</t>
  </si>
  <si>
    <t>Začištění omítek kolem oken,dveří apod. s použitím suché maltové směsi</t>
  </si>
  <si>
    <t>(1,5+2,9)*2*2+(5,5+2,9)*2*3+(2,75+2,9)*2*1+(2,6+1,8)*2*1+(3,1+2,9)*2*1+(1,5+2,1)*2*2+(2,5+2,1)*2*8+(2,6+5)*2*1-31,3</t>
  </si>
  <si>
    <t>(4,6+3,9)*2+(3,1+3,9)*2+(1,4+3,9)*2-4,6-3,1-1,4</t>
  </si>
  <si>
    <t>629 45-1111.R00</t>
  </si>
  <si>
    <t>Vyrovnávací vrstva MC šířky do 15 cm</t>
  </si>
  <si>
    <t>1,5*2+5,5*3+2,75*1+2,6*1+3,1*1+1,5*2+2,5*8+2,6*1</t>
  </si>
  <si>
    <t>Demontáž a zpětná montáž otopných těles</t>
  </si>
  <si>
    <t>parapety</t>
  </si>
  <si>
    <t>(1,5*2,9)*2+(5,5*2,9)*3+(2,75*2,9)*1+(2,6*1,8)*1+(3,1*2,9)*1+(1,5*2,1)*2+(2,5*2,1)*8+(2,6*5)*1</t>
  </si>
  <si>
    <t>(4,6*3,9)+(3,1*3,9)+(1,4*3,9)</t>
  </si>
  <si>
    <t>Dodávka a montáž čistící zóny u vstupu vnitřní  450x550 mm</t>
  </si>
  <si>
    <t>1.NP s jádrem</t>
  </si>
  <si>
    <t>2.NP s jádrem</t>
  </si>
  <si>
    <t>632 41-1150.RT1</t>
  </si>
  <si>
    <t>Potěr ze SMS Cemix, ruční zpracování, tl. 50 mm, cementový potěr 25 Cemix 020, 25 Mpa</t>
  </si>
  <si>
    <t>zádveří</t>
  </si>
  <si>
    <t>771 27-5206.RT2</t>
  </si>
  <si>
    <t>Obklad keram.schod.stupňů relief.do tmele, Adesilex P 22 (Mapei), Keracolor FF (spár.hmota)</t>
  </si>
  <si>
    <t>771 27-7807.R00</t>
  </si>
  <si>
    <t>Hrana stupně profil TREP - S výšky 8 mm</t>
  </si>
  <si>
    <t>1,5*6</t>
  </si>
  <si>
    <t>6,4*1,08</t>
  </si>
  <si>
    <t>(0,167*1,5*6+0,3*1,5*5)*1,25</t>
  </si>
  <si>
    <t>4,7-0,45*0,55-0,45*0,6</t>
  </si>
  <si>
    <t>(4,7-0,45*0,55-0,45*0,6)*1,08</t>
  </si>
  <si>
    <t>(0,45+0,55+0,45+0,6)*2</t>
  </si>
  <si>
    <t>342 94-8112.R01</t>
  </si>
  <si>
    <t>1*2*2+1,0*3*2+*1,0*1*2</t>
  </si>
  <si>
    <t>8*4*0,5</t>
  </si>
  <si>
    <t>6,4*0,06</t>
  </si>
  <si>
    <t>Krytina  zastřešení u vstupu do lékárny s tmel. sklem bezpečnostním  tl.15 mm</t>
  </si>
  <si>
    <t>3,7*3,3</t>
  </si>
  <si>
    <t>787 89-2311.r02</t>
  </si>
  <si>
    <t>783 29-3213.R00</t>
  </si>
  <si>
    <t>Nátěr kov.konstr.Eternal disperz. základ+2x email</t>
  </si>
  <si>
    <t>mříž v lékárně</t>
  </si>
  <si>
    <t>4,9*3,9</t>
  </si>
  <si>
    <t>783 20-1811.R00</t>
  </si>
  <si>
    <t>Odstranění nátěrů z kovových konstrukcí oškrábáním</t>
  </si>
  <si>
    <t>71</t>
  </si>
  <si>
    <t>Výplně otvorů</t>
  </si>
  <si>
    <t>14</t>
  </si>
  <si>
    <t>15</t>
  </si>
  <si>
    <t>Ostatní práce a dodávky</t>
  </si>
  <si>
    <t>15.1</t>
  </si>
  <si>
    <t>15.2</t>
  </si>
  <si>
    <t>15.3</t>
  </si>
  <si>
    <t>15.4</t>
  </si>
  <si>
    <t>15.5</t>
  </si>
  <si>
    <t>14,8*8*2+3,7*4,5</t>
  </si>
  <si>
    <t>8,1+7,3+34,90+10,7+29,10+4,7+33,90+14,0+16,10+20,90</t>
  </si>
  <si>
    <t>13,50+30,0+21,80+25,80+17,80+15,0+21,70+21,20+46,60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</si>
  <si>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</si>
  <si>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</si>
  <si>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</si>
  <si>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</si>
  <si>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</si>
  <si>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</si>
  <si>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</si>
  <si>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</si>
  <si>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</si>
  <si>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</si>
  <si>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</si>
  <si>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4.2</t>
  </si>
  <si>
    <t>4.3</t>
  </si>
  <si>
    <t>5.2</t>
  </si>
  <si>
    <t>5.3</t>
  </si>
  <si>
    <t>5.4</t>
  </si>
  <si>
    <t>7.8</t>
  </si>
  <si>
    <t>7.9</t>
  </si>
  <si>
    <t>7.10</t>
  </si>
  <si>
    <t>7.11</t>
  </si>
  <si>
    <t>7.12</t>
  </si>
  <si>
    <t>7.13</t>
  </si>
  <si>
    <t>8.1</t>
  </si>
  <si>
    <t>8.3</t>
  </si>
  <si>
    <t>8.4</t>
  </si>
  <si>
    <t>9.4</t>
  </si>
  <si>
    <t>10.2</t>
  </si>
  <si>
    <t>10.3</t>
  </si>
  <si>
    <t>10.6</t>
  </si>
  <si>
    <t>10.7</t>
  </si>
  <si>
    <t>10.8</t>
  </si>
  <si>
    <t>10.9</t>
  </si>
  <si>
    <t>10.10</t>
  </si>
  <si>
    <t>17.1.1</t>
  </si>
  <si>
    <t>17.1.2</t>
  </si>
  <si>
    <t>17.1.3</t>
  </si>
  <si>
    <t>17.3</t>
  </si>
  <si>
    <t>17.3.1</t>
  </si>
  <si>
    <t>17.3.2</t>
  </si>
  <si>
    <t>17.3.3</t>
  </si>
  <si>
    <t>17.3.4</t>
  </si>
  <si>
    <t>17.3.5</t>
  </si>
  <si>
    <t>17.4</t>
  </si>
  <si>
    <t>17.6</t>
  </si>
  <si>
    <t>12.1</t>
  </si>
  <si>
    <t>12.2</t>
  </si>
  <si>
    <t>12.3</t>
  </si>
  <si>
    <t>12.4</t>
  </si>
  <si>
    <t>12.5</t>
  </si>
  <si>
    <t>Slinutá keramická dlažba  300x300x9 mm mrazuvzdorná</t>
  </si>
  <si>
    <t>12.6</t>
  </si>
  <si>
    <t>14.1</t>
  </si>
  <si>
    <t>14.2</t>
  </si>
  <si>
    <t>Demontáž části hromosvodu, zpětná montáž s úpravou, včetně uzemnění zastřešení vstupu do lékárny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</si>
</sst>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#,##0\ &quot;Kč&quot;;[Red]\-#,##0\ &quot;Kč&quot;"/>
    <numFmt numFmtId="8" formatCode="#,##0.00\ &quot;Kč&quot;;[Red]\-#,##0.00\ &quot;Kč&quot;"/>
    <numFmt numFmtId="164" formatCode="#,##0.0000"/>
    <numFmt numFmtId="165" formatCode="#,##0.00000"/>
    <numFmt numFmtId="166" formatCode="0.000"/>
    <numFmt numFmtId="167" formatCode="#,##0;[Red]\-#,##0"/>
    <numFmt numFmtId="168" formatCode="#,##0.00;[Red]\-#,##0.00"/>
    <numFmt numFmtId="169" formatCode="#,##0.000"/>
  </numFmts>
  <fonts count="127"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Arial CE"/>
      <family val="2"/>
    </font>
    <font>
      <sz val="9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0"/>
      <color theme="0"/>
      <name val="Arial CE"/>
      <family val="2"/>
    </font>
    <font>
      <sz val="10"/>
      <color theme="0"/>
      <name val="Arial"/>
      <family val="2"/>
    </font>
    <font>
      <sz val="8"/>
      <name val="Arial CE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2"/>
      <name val="Arial Black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b/>
      <i/>
      <sz val="9"/>
      <color indexed="8"/>
      <name val="Segoe UI"/>
      <family val="2"/>
    </font>
    <font>
      <sz val="9"/>
      <color indexed="8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b/>
      <i/>
      <sz val="9"/>
      <color theme="0"/>
      <name val="Calibri"/>
      <family val="2"/>
    </font>
    <font>
      <b/>
      <i/>
      <sz val="9"/>
      <color indexed="8"/>
      <name val="Calibri"/>
      <family val="2"/>
    </font>
    <font>
      <sz val="9"/>
      <color indexed="8"/>
      <name val="Segoe UI"/>
      <family val="2"/>
    </font>
    <font>
      <sz val="9"/>
      <color theme="0"/>
      <name val="Calibri"/>
      <family val="2"/>
    </font>
    <font>
      <sz val="9"/>
      <color indexed="8"/>
      <name val="Calibri"/>
      <family val="2"/>
    </font>
    <font>
      <sz val="10"/>
      <name val="Helv"/>
      <family val="2"/>
    </font>
    <font>
      <b/>
      <sz val="9"/>
      <color indexed="17"/>
      <name val="Arial"/>
      <family val="2"/>
    </font>
    <font>
      <b/>
      <sz val="11"/>
      <color indexed="17"/>
      <name val="Arial"/>
      <family val="2"/>
    </font>
    <font>
      <b/>
      <sz val="10"/>
      <color indexed="17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sz val="10"/>
      <name val="Arial CE"/>
      <family val="2"/>
    </font>
    <font>
      <i/>
      <sz val="9"/>
      <color indexed="12"/>
      <name val="Arial CE"/>
      <family val="2"/>
    </font>
    <font>
      <i/>
      <sz val="9"/>
      <color indexed="12"/>
      <name val="Arial"/>
      <family val="2"/>
    </font>
    <font>
      <i/>
      <sz val="9"/>
      <color theme="0"/>
      <name val="Arial CE"/>
      <family val="2"/>
    </font>
    <font>
      <i/>
      <sz val="10"/>
      <color theme="0"/>
      <name val="Arial CE"/>
      <family val="2"/>
    </font>
    <font>
      <i/>
      <sz val="10"/>
      <color indexed="12"/>
      <name val="Arial CE"/>
      <family val="2"/>
    </font>
    <font>
      <b/>
      <i/>
      <sz val="9"/>
      <color theme="0"/>
      <name val="Arial"/>
      <family val="2"/>
    </font>
    <font>
      <b/>
      <i/>
      <sz val="10"/>
      <color theme="0"/>
      <name val="Arial"/>
      <family val="2"/>
    </font>
    <font>
      <sz val="9"/>
      <color theme="0"/>
      <name val="Arial CE"/>
      <family val="2"/>
    </font>
    <font>
      <sz val="10"/>
      <color theme="0"/>
      <name val="Arial CE"/>
      <family val="2"/>
    </font>
    <font>
      <b/>
      <sz val="9"/>
      <color theme="0"/>
      <name val="Arial CE"/>
      <family val="2"/>
    </font>
    <font>
      <i/>
      <sz val="9"/>
      <name val="Arial"/>
      <family val="2"/>
    </font>
    <font>
      <i/>
      <sz val="9"/>
      <color theme="0"/>
      <name val="Arial"/>
      <family val="2"/>
    </font>
    <font>
      <i/>
      <sz val="10"/>
      <color theme="0"/>
      <name val="Arial"/>
      <family val="2"/>
    </font>
    <font>
      <i/>
      <sz val="10"/>
      <color indexed="12"/>
      <name val="Arial"/>
      <family val="2"/>
    </font>
    <font>
      <i/>
      <sz val="9"/>
      <color rgb="FF0000FF"/>
      <name val="Arial"/>
      <family val="2"/>
    </font>
    <font>
      <sz val="10"/>
      <color indexed="17"/>
      <name val="Arial"/>
      <family val="2"/>
    </font>
    <font>
      <sz val="9"/>
      <color indexed="9"/>
      <name val="Arial"/>
      <family val="2"/>
    </font>
    <font>
      <sz val="9"/>
      <color indexed="17"/>
      <name val="Arial"/>
      <family val="2"/>
    </font>
    <font>
      <sz val="10"/>
      <color indexed="9"/>
      <name val="Arial"/>
      <family val="2"/>
    </font>
    <font>
      <sz val="10"/>
      <color rgb="FFFF0000"/>
      <name val="Arial"/>
      <family val="2"/>
    </font>
    <font>
      <b/>
      <sz val="10"/>
      <color indexed="9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0"/>
      <name val="Arial Tur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8"/>
      <color indexed="8"/>
      <name val="HelveticaNewE"/>
      <family val="5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MS Sans Serif"/>
      <family val="2"/>
    </font>
    <font>
      <sz val="14"/>
      <name val="Arial CE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i/>
      <sz val="10"/>
      <color indexed="8"/>
      <name val="Arial"/>
      <family val="2"/>
    </font>
    <font>
      <sz val="11"/>
      <name val="Arial CE"/>
      <family val="2"/>
    </font>
    <font>
      <sz val="8"/>
      <color indexed="8"/>
      <name val="Arial CE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0"/>
      <name val="MS Sans Serif"/>
      <family val="2"/>
    </font>
    <font>
      <b/>
      <sz val="9"/>
      <name val="Arial CE"/>
      <family val="2"/>
    </font>
    <font>
      <i/>
      <sz val="9"/>
      <color rgb="FF0000FF"/>
      <name val="Arial CE"/>
      <family val="2"/>
    </font>
    <font>
      <i/>
      <sz val="10"/>
      <color rgb="FF0000FF"/>
      <name val="Arial CE"/>
      <family val="2"/>
    </font>
    <font>
      <i/>
      <sz val="10"/>
      <color rgb="FF0000FF"/>
      <name val="Arial"/>
      <family val="2"/>
    </font>
    <font>
      <b/>
      <i/>
      <sz val="9"/>
      <color rgb="FF0000FF"/>
      <name val="Arial"/>
      <family val="2"/>
    </font>
    <font>
      <sz val="9"/>
      <color rgb="FF0000FF"/>
      <name val="Arial"/>
      <family val="2"/>
    </font>
    <font>
      <b/>
      <sz val="9"/>
      <color indexed="10"/>
      <name val="Arial"/>
      <family val="2"/>
    </font>
    <font>
      <i/>
      <sz val="9"/>
      <color indexed="9"/>
      <name val="Arial"/>
      <family val="2"/>
    </font>
    <font>
      <b/>
      <i/>
      <sz val="10"/>
      <color theme="0"/>
      <name val="Arial CE"/>
      <family val="2"/>
    </font>
    <font>
      <sz val="9"/>
      <color indexed="12"/>
      <name val="Arial"/>
      <family val="2"/>
    </font>
    <font>
      <b/>
      <sz val="9"/>
      <color indexed="9"/>
      <name val="Arial CE"/>
      <family val="2"/>
    </font>
    <font>
      <sz val="10"/>
      <color rgb="FF0000FF"/>
      <name val="Arial"/>
      <family val="2"/>
    </font>
    <font>
      <b/>
      <sz val="10"/>
      <color rgb="FF0000FF"/>
      <name val="Arial CE"/>
      <family val="2"/>
    </font>
    <font>
      <b/>
      <sz val="10"/>
      <color indexed="9"/>
      <name val="Arial CE"/>
      <family val="2"/>
    </font>
    <font>
      <sz val="12"/>
      <name val="Times New Roman"/>
      <family val="1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b/>
      <sz val="10"/>
      <color rgb="FF0000FF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1"/>
      <name val="Arial CE"/>
      <family val="2"/>
    </font>
    <font>
      <b/>
      <i/>
      <sz val="9"/>
      <name val="Arial CE"/>
      <family val="2"/>
    </font>
    <font>
      <b/>
      <i/>
      <sz val="9"/>
      <color rgb="FF0000FF"/>
      <name val="Arial CE"/>
      <family val="2"/>
    </font>
    <font>
      <b/>
      <i/>
      <sz val="10"/>
      <color rgb="FF0000FF"/>
      <name val="Arial CE"/>
      <family val="2"/>
    </font>
    <font>
      <b/>
      <i/>
      <sz val="10"/>
      <color rgb="FF0000FF"/>
      <name val="Arial"/>
      <family val="2"/>
    </font>
    <font>
      <i/>
      <sz val="10"/>
      <name val="Arial"/>
      <family val="2"/>
    </font>
    <font>
      <sz val="9"/>
      <name val="Calibri"/>
      <family val="2"/>
    </font>
    <font>
      <i/>
      <sz val="9"/>
      <color rgb="FFFF0000"/>
      <name val="Arial"/>
      <family val="2"/>
    </font>
    <font>
      <b/>
      <sz val="12"/>
      <color rgb="FFFF0000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 style="medium"/>
      <bottom style="medium"/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thin"/>
      <right style="thin"/>
      <top style="hair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double"/>
    </border>
    <border>
      <left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/>
    </border>
    <border>
      <left/>
      <right style="thin"/>
      <top style="hair"/>
      <bottom/>
    </border>
    <border>
      <left style="thin"/>
      <right style="medium"/>
      <top style="hair"/>
      <bottom/>
    </border>
    <border>
      <left/>
      <right style="thin"/>
      <top style="hair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hair"/>
    </border>
    <border>
      <left style="thin"/>
      <right style="thin"/>
      <top style="medium"/>
      <bottom style="hair">
        <color indexed="63"/>
      </bottom>
    </border>
    <border>
      <left style="thin"/>
      <right style="medium"/>
      <top style="medium"/>
      <bottom style="hair">
        <color indexed="63"/>
      </bottom>
    </border>
    <border>
      <left style="thin"/>
      <right style="thin"/>
      <top style="hair"/>
      <bottom style="hair">
        <color indexed="63"/>
      </bottom>
    </border>
    <border>
      <left style="thin"/>
      <right style="thin"/>
      <top style="hair">
        <color indexed="63"/>
      </top>
      <bottom style="hair">
        <color indexed="63"/>
      </bottom>
    </border>
    <border>
      <left style="thin"/>
      <right style="thin"/>
      <top/>
      <bottom style="hair">
        <color indexed="63"/>
      </bottom>
    </border>
    <border>
      <left/>
      <right style="medium"/>
      <top style="medium"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3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7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5" fillId="0" borderId="0" applyProtection="0">
      <alignment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9" borderId="0" applyNumberFormat="0" applyBorder="0" applyAlignment="0" applyProtection="0"/>
    <xf numFmtId="0" fontId="61" fillId="3" borderId="0" applyNumberFormat="0" applyBorder="0" applyAlignment="0" applyProtection="0"/>
    <xf numFmtId="0" fontId="62" fillId="20" borderId="1" applyNumberFormat="0" applyAlignment="0" applyProtection="0"/>
    <xf numFmtId="167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63" fillId="4" borderId="0" applyNumberFormat="0" applyBorder="0" applyAlignment="0" applyProtection="0"/>
    <xf numFmtId="0" fontId="21" fillId="0" borderId="0">
      <alignment/>
      <protection/>
    </xf>
    <xf numFmtId="0" fontId="64" fillId="21" borderId="2" applyNumberFormat="0" applyAlignment="0" applyProtection="0"/>
    <xf numFmtId="0" fontId="6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4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>
      <alignment/>
      <protection/>
    </xf>
    <xf numFmtId="0" fontId="70" fillId="0" borderId="0">
      <alignment/>
      <protection/>
    </xf>
    <xf numFmtId="0" fontId="70" fillId="0" borderId="0">
      <alignment horizontal="center"/>
      <protection/>
    </xf>
    <xf numFmtId="0" fontId="71" fillId="22" borderId="6" applyNumberFormat="0" applyAlignment="0" applyProtection="0"/>
    <xf numFmtId="0" fontId="72" fillId="7" borderId="1" applyNumberFormat="0" applyAlignment="0" applyProtection="0"/>
    <xf numFmtId="0" fontId="73" fillId="0" borderId="0">
      <alignment/>
      <protection/>
    </xf>
    <xf numFmtId="0" fontId="71" fillId="22" borderId="6" applyNumberFormat="0" applyAlignment="0" applyProtection="0"/>
    <xf numFmtId="0" fontId="74" fillId="0" borderId="7" applyNumberFormat="0" applyFill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0" borderId="0">
      <alignment/>
      <protection locked="0"/>
    </xf>
    <xf numFmtId="0" fontId="7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 locked="0"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76" fillId="0" borderId="0">
      <alignment/>
      <protection locked="0"/>
    </xf>
    <xf numFmtId="0" fontId="35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76" fillId="0" borderId="0">
      <alignment/>
      <protection locked="0"/>
    </xf>
    <xf numFmtId="0" fontId="35" fillId="0" borderId="0">
      <alignment/>
      <protection/>
    </xf>
    <xf numFmtId="0" fontId="76" fillId="0" borderId="0">
      <alignment/>
      <protection locked="0"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24" borderId="2" applyNumberFormat="0" applyFont="0" applyAlignment="0" applyProtection="0"/>
    <xf numFmtId="0" fontId="0" fillId="24" borderId="2" applyNumberFormat="0" applyFont="0" applyAlignment="0" applyProtection="0"/>
    <xf numFmtId="0" fontId="79" fillId="20" borderId="8" applyNumberFormat="0" applyAlignment="0" applyProtection="0"/>
    <xf numFmtId="0" fontId="80" fillId="0" borderId="0">
      <alignment/>
      <protection/>
    </xf>
    <xf numFmtId="0" fontId="81" fillId="25" borderId="0">
      <alignment/>
      <protection/>
    </xf>
    <xf numFmtId="0" fontId="82" fillId="0" borderId="9">
      <alignment horizontal="justify" vertical="center" wrapText="1"/>
      <protection locked="0"/>
    </xf>
    <xf numFmtId="0" fontId="74" fillId="0" borderId="7" applyNumberFormat="0" applyFill="0" applyAlignment="0" applyProtection="0"/>
    <xf numFmtId="9" fontId="21" fillId="0" borderId="0" applyFont="0" applyFill="0" applyBorder="0" applyAlignment="0" applyProtection="0"/>
    <xf numFmtId="0" fontId="83" fillId="0" borderId="10" applyNumberFormat="0" applyFill="0" applyAlignment="0" applyProtection="0"/>
    <xf numFmtId="0" fontId="35" fillId="0" borderId="0" applyFont="0" applyFill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5" fillId="0" borderId="0" applyProtection="0">
      <alignment/>
    </xf>
    <xf numFmtId="0" fontId="78" fillId="0" borderId="0">
      <alignment/>
      <protection/>
    </xf>
    <xf numFmtId="0" fontId="84" fillId="0" borderId="0" applyNumberFormat="0" applyFill="0" applyBorder="0" applyAlignment="0" applyProtection="0"/>
    <xf numFmtId="0" fontId="78" fillId="0" borderId="0">
      <alignment horizontal="center"/>
      <protection/>
    </xf>
    <xf numFmtId="0" fontId="85" fillId="0" borderId="0">
      <alignment/>
      <protection/>
    </xf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3" fillId="0" borderId="10" applyNumberFormat="0" applyFill="0" applyAlignment="0" applyProtection="0"/>
    <xf numFmtId="0" fontId="85" fillId="20" borderId="0">
      <alignment/>
      <protection/>
    </xf>
    <xf numFmtId="0" fontId="85" fillId="10" borderId="0">
      <alignment/>
      <protection/>
    </xf>
    <xf numFmtId="0" fontId="6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61" fillId="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</cellStyleXfs>
  <cellXfs count="734">
    <xf numFmtId="0" fontId="0" fillId="0" borderId="0" xfId="0"/>
    <xf numFmtId="49" fontId="3" fillId="0" borderId="11" xfId="20" applyNumberFormat="1" applyFont="1" applyFill="1" applyBorder="1" applyAlignment="1">
      <alignment vertical="center"/>
      <protection/>
    </xf>
    <xf numFmtId="164" fontId="22" fillId="0" borderId="0" xfId="21" applyNumberFormat="1" applyFont="1" applyAlignment="1">
      <alignment horizontal="right" vertical="center" indent="1"/>
      <protection/>
    </xf>
    <xf numFmtId="165" fontId="22" fillId="0" borderId="0" xfId="21" applyNumberFormat="1" applyFont="1" applyAlignment="1">
      <alignment horizontal="right" vertical="center" indent="1"/>
      <protection/>
    </xf>
    <xf numFmtId="0" fontId="23" fillId="0" borderId="0" xfId="21" applyFont="1" applyAlignment="1">
      <alignment horizontal="left"/>
      <protection/>
    </xf>
    <xf numFmtId="4" fontId="23" fillId="0" borderId="0" xfId="21" applyNumberFormat="1" applyFont="1" applyAlignment="1">
      <alignment horizontal="left"/>
      <protection/>
    </xf>
    <xf numFmtId="164" fontId="25" fillId="0" borderId="0" xfId="21" applyNumberFormat="1" applyFont="1" applyAlignment="1">
      <alignment horizontal="right" vertical="center" indent="1"/>
      <protection/>
    </xf>
    <xf numFmtId="165" fontId="25" fillId="0" borderId="0" xfId="21" applyNumberFormat="1" applyFont="1" applyAlignment="1">
      <alignment horizontal="right" vertical="center" indent="1"/>
      <protection/>
    </xf>
    <xf numFmtId="0" fontId="26" fillId="0" borderId="0" xfId="21" applyFont="1">
      <alignment/>
      <protection/>
    </xf>
    <xf numFmtId="4" fontId="26" fillId="0" borderId="0" xfId="21" applyNumberFormat="1" applyFont="1">
      <alignment/>
      <protection/>
    </xf>
    <xf numFmtId="49" fontId="3" fillId="23" borderId="12" xfId="22" applyNumberFormat="1" applyFont="1" applyFill="1" applyBorder="1" applyAlignment="1">
      <alignment horizontal="center" vertical="center" wrapText="1"/>
      <protection/>
    </xf>
    <xf numFmtId="49" fontId="3" fillId="23" borderId="13" xfId="22" applyNumberFormat="1" applyFont="1" applyFill="1" applyBorder="1" applyAlignment="1">
      <alignment horizontal="center" vertical="center" wrapText="1"/>
      <protection/>
    </xf>
    <xf numFmtId="0" fontId="3" fillId="23" borderId="14" xfId="23" applyFont="1" applyFill="1" applyBorder="1" applyAlignment="1">
      <alignment vertical="center" wrapText="1"/>
      <protection/>
    </xf>
    <xf numFmtId="0" fontId="3" fillId="23" borderId="14" xfId="22" applyFont="1" applyFill="1" applyBorder="1" applyAlignment="1">
      <alignment horizontal="center" vertical="center" wrapText="1"/>
      <protection/>
    </xf>
    <xf numFmtId="0" fontId="3" fillId="23" borderId="15" xfId="22" applyFont="1" applyFill="1" applyBorder="1" applyAlignment="1">
      <alignment horizontal="center" vertical="center" wrapText="1"/>
      <protection/>
    </xf>
    <xf numFmtId="164" fontId="16" fillId="0" borderId="0" xfId="22" applyNumberFormat="1" applyFont="1" applyAlignment="1">
      <alignment horizontal="right" vertical="center" indent="1"/>
      <protection/>
    </xf>
    <xf numFmtId="165" fontId="16" fillId="0" borderId="0" xfId="22" applyNumberFormat="1" applyFont="1" applyAlignment="1">
      <alignment horizontal="right" vertical="center" wrapText="1" indent="1"/>
      <protection/>
    </xf>
    <xf numFmtId="0" fontId="3" fillId="0" borderId="0" xfId="22" applyFont="1" applyAlignment="1">
      <alignment horizontal="center" vertical="center" wrapText="1"/>
      <protection/>
    </xf>
    <xf numFmtId="4" fontId="3" fillId="0" borderId="0" xfId="22" applyNumberFormat="1" applyFont="1" applyAlignment="1">
      <alignment horizontal="center" vertical="center" wrapText="1"/>
      <protection/>
    </xf>
    <xf numFmtId="0" fontId="0" fillId="0" borderId="14" xfId="24" applyFont="1" applyBorder="1" applyAlignment="1">
      <alignment vertical="center" wrapText="1"/>
      <protection/>
    </xf>
    <xf numFmtId="49" fontId="3" fillId="0" borderId="12" xfId="25" applyNumberFormat="1" applyFont="1" applyFill="1" applyBorder="1" applyAlignment="1">
      <alignment horizontal="center" vertical="center"/>
      <protection/>
    </xf>
    <xf numFmtId="49" fontId="3" fillId="0" borderId="13" xfId="25" applyNumberFormat="1" applyFont="1" applyFill="1" applyBorder="1" applyAlignment="1">
      <alignment horizontal="center" vertical="center"/>
      <protection/>
    </xf>
    <xf numFmtId="0" fontId="3" fillId="0" borderId="14" xfId="25" applyFont="1" applyFill="1" applyBorder="1" applyAlignment="1">
      <alignment vertical="center" wrapText="1"/>
      <protection/>
    </xf>
    <xf numFmtId="49" fontId="3" fillId="0" borderId="14" xfId="25" applyNumberFormat="1" applyFont="1" applyFill="1" applyBorder="1" applyAlignment="1">
      <alignment horizontal="center" vertical="center" shrinkToFit="1"/>
      <protection/>
    </xf>
    <xf numFmtId="4" fontId="3" fillId="0" borderId="16" xfId="0" applyNumberFormat="1" applyFont="1" applyFill="1" applyBorder="1" applyAlignment="1">
      <alignment horizontal="right" vertical="center" indent="1"/>
    </xf>
    <xf numFmtId="4" fontId="3" fillId="0" borderId="14" xfId="25" applyNumberFormat="1" applyFont="1" applyFill="1" applyBorder="1" applyAlignment="1">
      <alignment horizontal="right" vertical="center" indent="1"/>
      <protection/>
    </xf>
    <xf numFmtId="4" fontId="3" fillId="0" borderId="15" xfId="0" applyNumberFormat="1" applyFont="1" applyFill="1" applyBorder="1" applyAlignment="1">
      <alignment horizontal="right" vertical="center" wrapText="1" indent="1"/>
    </xf>
    <xf numFmtId="164" fontId="16" fillId="0" borderId="0" xfId="25" applyNumberFormat="1" applyFont="1" applyFill="1" applyBorder="1" applyAlignment="1">
      <alignment horizontal="right" vertical="center" indent="1"/>
      <protection/>
    </xf>
    <xf numFmtId="165" fontId="16" fillId="0" borderId="0" xfId="25" applyNumberFormat="1" applyFont="1" applyFill="1" applyAlignment="1">
      <alignment horizontal="right" vertical="center" indent="1"/>
      <protection/>
    </xf>
    <xf numFmtId="0" fontId="3" fillId="0" borderId="0" xfId="25" applyFont="1" applyFill="1" applyAlignment="1">
      <alignment vertical="center"/>
      <protection/>
    </xf>
    <xf numFmtId="4" fontId="3" fillId="0" borderId="0" xfId="25" applyNumberFormat="1" applyFont="1" applyFill="1" applyAlignment="1">
      <alignment vertical="center"/>
      <protection/>
    </xf>
    <xf numFmtId="49" fontId="36" fillId="0" borderId="12" xfId="25" applyNumberFormat="1" applyFont="1" applyFill="1" applyBorder="1" applyAlignment="1">
      <alignment horizontal="center" vertical="center"/>
      <protection/>
    </xf>
    <xf numFmtId="49" fontId="36" fillId="0" borderId="14" xfId="25" applyNumberFormat="1" applyFont="1" applyFill="1" applyBorder="1" applyAlignment="1">
      <alignment horizontal="center" vertical="center"/>
      <protection/>
    </xf>
    <xf numFmtId="4" fontId="36" fillId="0" borderId="14" xfId="25" applyNumberFormat="1" applyFont="1" applyFill="1" applyBorder="1" applyAlignment="1">
      <alignment horizontal="left" vertical="center" wrapText="1"/>
      <protection/>
    </xf>
    <xf numFmtId="4" fontId="37" fillId="0" borderId="14" xfId="0" applyNumberFormat="1" applyFont="1" applyFill="1" applyBorder="1" applyAlignment="1">
      <alignment horizontal="center" vertical="center"/>
    </xf>
    <xf numFmtId="4" fontId="36" fillId="0" borderId="14" xfId="25" applyNumberFormat="1" applyFont="1" applyFill="1" applyBorder="1" applyAlignment="1">
      <alignment horizontal="right" vertical="center" indent="1"/>
      <protection/>
    </xf>
    <xf numFmtId="4" fontId="36" fillId="0" borderId="15" xfId="25" applyNumberFormat="1" applyFont="1" applyFill="1" applyBorder="1" applyAlignment="1">
      <alignment horizontal="right" vertical="center" indent="1"/>
      <protection/>
    </xf>
    <xf numFmtId="164" fontId="38" fillId="0" borderId="0" xfId="25" applyNumberFormat="1" applyFont="1" applyFill="1" applyBorder="1" applyAlignment="1">
      <alignment horizontal="right" vertical="center" indent="1"/>
      <protection/>
    </xf>
    <xf numFmtId="165" fontId="39" fillId="0" borderId="0" xfId="25" applyNumberFormat="1" applyFont="1" applyFill="1" applyAlignment="1">
      <alignment horizontal="right" vertical="center" indent="1"/>
      <protection/>
    </xf>
    <xf numFmtId="0" fontId="40" fillId="0" borderId="0" xfId="25" applyFont="1" applyFill="1" applyAlignment="1">
      <alignment vertical="center"/>
      <protection/>
    </xf>
    <xf numFmtId="4" fontId="40" fillId="0" borderId="0" xfId="25" applyNumberFormat="1" applyFont="1" applyFill="1" applyAlignment="1">
      <alignment vertical="center"/>
      <protection/>
    </xf>
    <xf numFmtId="4" fontId="3" fillId="0" borderId="15" xfId="22" applyNumberFormat="1" applyFont="1" applyFill="1" applyBorder="1" applyAlignment="1">
      <alignment horizontal="right" vertical="center" indent="1"/>
      <protection/>
    </xf>
    <xf numFmtId="0" fontId="3" fillId="0" borderId="14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right" vertical="center" wrapText="1" indent="1"/>
    </xf>
    <xf numFmtId="164" fontId="16" fillId="0" borderId="0" xfId="26" applyNumberFormat="1" applyFont="1" applyFill="1" applyBorder="1" applyAlignment="1">
      <alignment horizontal="right" vertical="center" indent="1"/>
      <protection/>
    </xf>
    <xf numFmtId="165" fontId="7" fillId="0" borderId="0" xfId="0" applyNumberFormat="1" applyFont="1" applyFill="1" applyAlignment="1">
      <alignment horizontal="right" vertical="center" indent="1"/>
    </xf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164" fontId="43" fillId="0" borderId="0" xfId="25" applyNumberFormat="1" applyFont="1" applyFill="1" applyBorder="1" applyAlignment="1">
      <alignment horizontal="right" vertical="center" indent="1"/>
      <protection/>
    </xf>
    <xf numFmtId="165" fontId="43" fillId="0" borderId="0" xfId="25" applyNumberFormat="1" applyFont="1" applyFill="1" applyBorder="1" applyAlignment="1">
      <alignment horizontal="right" vertical="center" indent="1"/>
      <protection/>
    </xf>
    <xf numFmtId="49" fontId="2" fillId="0" borderId="14" xfId="25" applyNumberFormat="1" applyFont="1" applyFill="1" applyBorder="1" applyAlignment="1">
      <alignment horizontal="center" vertical="center"/>
      <protection/>
    </xf>
    <xf numFmtId="0" fontId="2" fillId="0" borderId="14" xfId="25" applyFont="1" applyFill="1" applyBorder="1" applyAlignment="1">
      <alignment vertical="center" wrapText="1"/>
      <protection/>
    </xf>
    <xf numFmtId="49" fontId="2" fillId="0" borderId="14" xfId="25" applyNumberFormat="1" applyFont="1" applyFill="1" applyBorder="1" applyAlignment="1">
      <alignment horizontal="center" vertical="center" shrinkToFit="1"/>
      <protection/>
    </xf>
    <xf numFmtId="4" fontId="2" fillId="0" borderId="14" xfId="25" applyNumberFormat="1" applyFont="1" applyFill="1" applyBorder="1" applyAlignment="1">
      <alignment horizontal="right" vertical="center" indent="1"/>
      <protection/>
    </xf>
    <xf numFmtId="49" fontId="2" fillId="0" borderId="12" xfId="25" applyNumberFormat="1" applyFont="1" applyFill="1" applyBorder="1" applyAlignment="1">
      <alignment horizontal="center" vertical="center"/>
      <protection/>
    </xf>
    <xf numFmtId="164" fontId="47" fillId="0" borderId="0" xfId="27" applyNumberFormat="1" applyFont="1" applyFill="1" applyBorder="1" applyAlignment="1">
      <alignment horizontal="right" vertical="center" indent="1"/>
      <protection/>
    </xf>
    <xf numFmtId="165" fontId="48" fillId="0" borderId="0" xfId="27" applyNumberFormat="1" applyFont="1" applyFill="1" applyAlignment="1">
      <alignment horizontal="right" vertical="center" indent="1"/>
      <protection/>
    </xf>
    <xf numFmtId="0" fontId="49" fillId="0" borderId="0" xfId="27" applyFont="1" applyFill="1">
      <alignment/>
      <protection/>
    </xf>
    <xf numFmtId="4" fontId="49" fillId="0" borderId="0" xfId="27" applyNumberFormat="1" applyFont="1" applyFill="1">
      <alignment/>
      <protection/>
    </xf>
    <xf numFmtId="49" fontId="36" fillId="0" borderId="12" xfId="27" applyNumberFormat="1" applyFont="1" applyFill="1" applyBorder="1" applyAlignment="1">
      <alignment horizontal="center" vertical="center"/>
      <protection/>
    </xf>
    <xf numFmtId="49" fontId="36" fillId="0" borderId="13" xfId="27" applyNumberFormat="1" applyFont="1" applyFill="1" applyBorder="1" applyAlignment="1">
      <alignment horizontal="center" vertical="center"/>
      <protection/>
    </xf>
    <xf numFmtId="4" fontId="37" fillId="0" borderId="14" xfId="27" applyNumberFormat="1" applyFont="1" applyFill="1" applyBorder="1" applyAlignment="1">
      <alignment horizontal="center" vertical="center"/>
      <protection/>
    </xf>
    <xf numFmtId="4" fontId="3" fillId="0" borderId="14" xfId="28" applyNumberFormat="1" applyFont="1" applyFill="1" applyBorder="1" applyAlignment="1">
      <alignment horizontal="right" vertical="center" wrapText="1" indent="1"/>
      <protection/>
    </xf>
    <xf numFmtId="4" fontId="3" fillId="0" borderId="14" xfId="26" applyNumberFormat="1" applyFont="1" applyFill="1" applyBorder="1" applyAlignment="1">
      <alignment horizontal="right" vertical="center" indent="1"/>
      <protection/>
    </xf>
    <xf numFmtId="4" fontId="3" fillId="0" borderId="15" xfId="28" applyNumberFormat="1" applyFont="1" applyFill="1" applyBorder="1" applyAlignment="1">
      <alignment horizontal="right" vertical="center" indent="1"/>
      <protection/>
    </xf>
    <xf numFmtId="165" fontId="16" fillId="0" borderId="0" xfId="25" applyNumberFormat="1" applyFont="1" applyFill="1" applyBorder="1" applyAlignment="1">
      <alignment horizontal="right" vertical="center" indent="1"/>
      <protection/>
    </xf>
    <xf numFmtId="0" fontId="3" fillId="0" borderId="14" xfId="0" applyFont="1" applyFill="1" applyBorder="1" applyAlignment="1">
      <alignment vertical="center" wrapText="1"/>
    </xf>
    <xf numFmtId="49" fontId="2" fillId="0" borderId="17" xfId="29" applyNumberFormat="1" applyFont="1" applyFill="1" applyBorder="1" applyAlignment="1">
      <alignment horizontal="center"/>
      <protection/>
    </xf>
    <xf numFmtId="49" fontId="35" fillId="0" borderId="18" xfId="29" applyNumberFormat="1" applyFont="1" applyFill="1" applyBorder="1" applyAlignment="1">
      <alignment horizontal="center"/>
      <protection/>
    </xf>
    <xf numFmtId="0" fontId="35" fillId="0" borderId="18" xfId="29" applyFont="1" applyFill="1" applyBorder="1" applyAlignment="1">
      <alignment wrapText="1"/>
      <protection/>
    </xf>
    <xf numFmtId="49" fontId="35" fillId="0" borderId="18" xfId="29" applyNumberFormat="1" applyFont="1" applyFill="1" applyBorder="1" applyAlignment="1">
      <alignment horizontal="center" shrinkToFit="1"/>
      <protection/>
    </xf>
    <xf numFmtId="4" fontId="35" fillId="0" borderId="18" xfId="29" applyNumberFormat="1" applyFont="1" applyFill="1" applyBorder="1" applyAlignment="1">
      <alignment horizontal="right" vertical="center"/>
      <protection/>
    </xf>
    <xf numFmtId="4" fontId="35" fillId="0" borderId="18" xfId="29" applyNumberFormat="1" applyFont="1" applyFill="1" applyBorder="1" applyAlignment="1">
      <alignment horizontal="right" vertical="center" indent="1"/>
      <protection/>
    </xf>
    <xf numFmtId="4" fontId="35" fillId="0" borderId="19" xfId="29" applyNumberFormat="1" applyFont="1" applyFill="1" applyBorder="1">
      <alignment/>
      <protection/>
    </xf>
    <xf numFmtId="164" fontId="44" fillId="0" borderId="0" xfId="29" applyNumberFormat="1" applyFont="1" applyFill="1" applyBorder="1" applyAlignment="1">
      <alignment horizontal="right" vertical="center" indent="1"/>
      <protection/>
    </xf>
    <xf numFmtId="165" fontId="44" fillId="0" borderId="0" xfId="29" applyNumberFormat="1" applyFont="1" applyAlignment="1">
      <alignment horizontal="right" vertical="center" indent="1"/>
      <protection/>
    </xf>
    <xf numFmtId="0" fontId="35" fillId="0" borderId="0" xfId="29">
      <alignment/>
      <protection/>
    </xf>
    <xf numFmtId="4" fontId="35" fillId="0" borderId="0" xfId="29" applyNumberFormat="1">
      <alignment/>
      <protection/>
    </xf>
    <xf numFmtId="49" fontId="2" fillId="0" borderId="20" xfId="29" applyNumberFormat="1" applyFont="1" applyFill="1" applyBorder="1" applyAlignment="1">
      <alignment horizontal="center"/>
      <protection/>
    </xf>
    <xf numFmtId="49" fontId="35" fillId="0" borderId="21" xfId="29" applyNumberFormat="1" applyFont="1" applyFill="1" applyBorder="1" applyAlignment="1">
      <alignment horizontal="center"/>
      <protection/>
    </xf>
    <xf numFmtId="0" fontId="35" fillId="0" borderId="21" xfId="29" applyFont="1" applyFill="1" applyBorder="1" applyAlignment="1">
      <alignment wrapText="1"/>
      <protection/>
    </xf>
    <xf numFmtId="49" fontId="35" fillId="0" borderId="21" xfId="29" applyNumberFormat="1" applyFont="1" applyFill="1" applyBorder="1" applyAlignment="1">
      <alignment horizontal="center" shrinkToFit="1"/>
      <protection/>
    </xf>
    <xf numFmtId="4" fontId="35" fillId="0" borderId="21" xfId="29" applyNumberFormat="1" applyFont="1" applyFill="1" applyBorder="1" applyAlignment="1">
      <alignment horizontal="right" vertical="center"/>
      <protection/>
    </xf>
    <xf numFmtId="4" fontId="35" fillId="0" borderId="21" xfId="29" applyNumberFormat="1" applyFont="1" applyFill="1" applyBorder="1" applyAlignment="1">
      <alignment horizontal="right" vertical="center" indent="1"/>
      <protection/>
    </xf>
    <xf numFmtId="4" fontId="35" fillId="0" borderId="22" xfId="29" applyNumberFormat="1" applyFont="1" applyFill="1" applyBorder="1">
      <alignment/>
      <protection/>
    </xf>
    <xf numFmtId="0" fontId="0" fillId="0" borderId="0" xfId="0" applyFill="1"/>
    <xf numFmtId="164" fontId="31" fillId="0" borderId="0" xfId="31" applyNumberFormat="1" applyFont="1" applyBorder="1" applyAlignment="1">
      <alignment horizontal="right" vertical="center" indent="1"/>
      <protection/>
    </xf>
    <xf numFmtId="49" fontId="0" fillId="0" borderId="23" xfId="32" applyNumberFormat="1" applyBorder="1" applyAlignment="1">
      <alignment horizontal="center" vertical="center"/>
      <protection/>
    </xf>
    <xf numFmtId="49" fontId="3" fillId="0" borderId="24" xfId="32" applyNumberFormat="1" applyFont="1" applyBorder="1" applyAlignment="1">
      <alignment horizontal="center" vertical="center"/>
      <protection/>
    </xf>
    <xf numFmtId="0" fontId="0" fillId="0" borderId="24" xfId="32" applyBorder="1" applyAlignment="1">
      <alignment vertical="center" wrapText="1"/>
      <protection/>
    </xf>
    <xf numFmtId="0" fontId="0" fillId="0" borderId="24" xfId="32" applyBorder="1" applyAlignment="1">
      <alignment horizontal="center" vertical="center"/>
      <protection/>
    </xf>
    <xf numFmtId="166" fontId="0" fillId="0" borderId="24" xfId="32" applyNumberFormat="1" applyFill="1" applyBorder="1" applyAlignment="1">
      <alignment horizontal="center" vertical="center"/>
      <protection/>
    </xf>
    <xf numFmtId="4" fontId="0" fillId="0" borderId="24" xfId="32" applyNumberFormat="1" applyBorder="1" applyAlignment="1">
      <alignment horizontal="center" vertical="center"/>
      <protection/>
    </xf>
    <xf numFmtId="4" fontId="0" fillId="0" borderId="25" xfId="32" applyNumberFormat="1" applyBorder="1" applyAlignment="1">
      <alignment horizontal="right" vertical="center" indent="1"/>
      <protection/>
    </xf>
    <xf numFmtId="164" fontId="16" fillId="0" borderId="0" xfId="32" applyNumberFormat="1" applyFont="1" applyBorder="1" applyAlignment="1">
      <alignment horizontal="right" vertical="center" indent="1"/>
      <protection/>
    </xf>
    <xf numFmtId="165" fontId="16" fillId="0" borderId="0" xfId="32" applyNumberFormat="1" applyFont="1" applyBorder="1" applyAlignment="1">
      <alignment horizontal="right" vertical="center" indent="1"/>
      <protection/>
    </xf>
    <xf numFmtId="165" fontId="16" fillId="0" borderId="0" xfId="32" applyNumberFormat="1" applyFont="1" applyAlignment="1">
      <alignment horizontal="right" vertical="center" indent="1"/>
      <protection/>
    </xf>
    <xf numFmtId="165" fontId="7" fillId="0" borderId="0" xfId="32" applyNumberFormat="1" applyFont="1" applyAlignment="1">
      <alignment horizontal="right" vertical="center" indent="1"/>
      <protection/>
    </xf>
    <xf numFmtId="0" fontId="54" fillId="0" borderId="0" xfId="32" applyFont="1" applyAlignment="1">
      <alignment vertical="center"/>
      <protection/>
    </xf>
    <xf numFmtId="4" fontId="54" fillId="0" borderId="0" xfId="32" applyNumberFormat="1" applyFont="1" applyAlignment="1">
      <alignment vertical="center"/>
      <protection/>
    </xf>
    <xf numFmtId="0" fontId="0" fillId="0" borderId="0" xfId="32" applyAlignment="1">
      <alignment vertical="center"/>
      <protection/>
    </xf>
    <xf numFmtId="165" fontId="7" fillId="0" borderId="0" xfId="25" applyNumberFormat="1" applyFont="1" applyFill="1" applyAlignment="1">
      <alignment horizontal="right" vertical="center" indent="1"/>
      <protection/>
    </xf>
    <xf numFmtId="49" fontId="0" fillId="0" borderId="26" xfId="32" applyNumberFormat="1" applyBorder="1" applyAlignment="1">
      <alignment horizontal="center" vertical="center"/>
      <protection/>
    </xf>
    <xf numFmtId="49" fontId="3" fillId="0" borderId="27" xfId="32" applyNumberFormat="1" applyFont="1" applyBorder="1" applyAlignment="1">
      <alignment horizontal="center" vertical="center"/>
      <protection/>
    </xf>
    <xf numFmtId="0" fontId="0" fillId="0" borderId="27" xfId="32" applyBorder="1" applyAlignment="1">
      <alignment vertical="center" wrapText="1"/>
      <protection/>
    </xf>
    <xf numFmtId="0" fontId="0" fillId="0" borderId="27" xfId="32" applyBorder="1" applyAlignment="1">
      <alignment horizontal="center" vertical="center"/>
      <protection/>
    </xf>
    <xf numFmtId="166" fontId="0" fillId="0" borderId="27" xfId="32" applyNumberFormat="1" applyFill="1" applyBorder="1" applyAlignment="1">
      <alignment horizontal="center" vertical="center"/>
      <protection/>
    </xf>
    <xf numFmtId="4" fontId="0" fillId="0" borderId="27" xfId="32" applyNumberFormat="1" applyBorder="1" applyAlignment="1">
      <alignment horizontal="center" vertical="center"/>
      <protection/>
    </xf>
    <xf numFmtId="4" fontId="0" fillId="0" borderId="28" xfId="32" applyNumberFormat="1" applyBorder="1" applyAlignment="1">
      <alignment horizontal="right" vertical="center" indent="1"/>
      <protection/>
    </xf>
    <xf numFmtId="49" fontId="0" fillId="0" borderId="29" xfId="32" applyNumberFormat="1" applyBorder="1" applyAlignment="1">
      <alignment horizontal="center" vertical="center"/>
      <protection/>
    </xf>
    <xf numFmtId="49" fontId="3" fillId="0" borderId="30" xfId="32" applyNumberFormat="1" applyFont="1" applyBorder="1" applyAlignment="1">
      <alignment horizontal="center" vertical="center"/>
      <protection/>
    </xf>
    <xf numFmtId="0" fontId="0" fillId="0" borderId="30" xfId="32" applyBorder="1" applyAlignment="1">
      <alignment horizontal="center" vertical="center"/>
      <protection/>
    </xf>
    <xf numFmtId="166" fontId="0" fillId="0" borderId="30" xfId="32" applyNumberFormat="1" applyBorder="1" applyAlignment="1">
      <alignment horizontal="center" vertical="center"/>
      <protection/>
    </xf>
    <xf numFmtId="4" fontId="0" fillId="0" borderId="30" xfId="32" applyNumberFormat="1" applyBorder="1" applyAlignment="1">
      <alignment horizontal="center" vertical="center"/>
      <protection/>
    </xf>
    <xf numFmtId="164" fontId="31" fillId="0" borderId="0" xfId="32" applyNumberFormat="1" applyFont="1" applyBorder="1" applyAlignment="1">
      <alignment horizontal="right" vertical="center" indent="1"/>
      <protection/>
    </xf>
    <xf numFmtId="49" fontId="0" fillId="26" borderId="31" xfId="32" applyNumberFormat="1" applyFill="1" applyBorder="1" applyAlignment="1">
      <alignment horizontal="center" vertical="center"/>
      <protection/>
    </xf>
    <xf numFmtId="49" fontId="3" fillId="26" borderId="32" xfId="32" applyNumberFormat="1" applyFont="1" applyFill="1" applyBorder="1" applyAlignment="1">
      <alignment horizontal="center" vertical="center"/>
      <protection/>
    </xf>
    <xf numFmtId="0" fontId="0" fillId="26" borderId="32" xfId="32" applyFill="1" applyBorder="1" applyAlignment="1">
      <alignment vertical="center"/>
      <protection/>
    </xf>
    <xf numFmtId="0" fontId="0" fillId="26" borderId="32" xfId="32" applyFill="1" applyBorder="1" applyAlignment="1">
      <alignment horizontal="center" vertical="center"/>
      <protection/>
    </xf>
    <xf numFmtId="166" fontId="0" fillId="26" borderId="32" xfId="32" applyNumberFormat="1" applyFill="1" applyBorder="1" applyAlignment="1">
      <alignment horizontal="center" vertical="center"/>
      <protection/>
    </xf>
    <xf numFmtId="4" fontId="0" fillId="26" borderId="32" xfId="32" applyNumberFormat="1" applyFill="1" applyBorder="1" applyAlignment="1">
      <alignment horizontal="center" vertical="center"/>
      <protection/>
    </xf>
    <xf numFmtId="4" fontId="0" fillId="26" borderId="33" xfId="32" applyNumberFormat="1" applyFill="1" applyBorder="1" applyAlignment="1">
      <alignment horizontal="right" vertical="center" indent="1"/>
      <protection/>
    </xf>
    <xf numFmtId="49" fontId="36" fillId="0" borderId="34" xfId="27" applyNumberFormat="1" applyFont="1" applyFill="1" applyBorder="1" applyAlignment="1">
      <alignment horizontal="center" vertical="center"/>
      <protection/>
    </xf>
    <xf numFmtId="49" fontId="36" fillId="0" borderId="35" xfId="27" applyNumberFormat="1" applyFont="1" applyFill="1" applyBorder="1" applyAlignment="1">
      <alignment horizontal="center" vertical="center"/>
      <protection/>
    </xf>
    <xf numFmtId="4" fontId="37" fillId="0" borderId="36" xfId="27" applyNumberFormat="1" applyFont="1" applyFill="1" applyBorder="1" applyAlignment="1">
      <alignment horizontal="center" vertical="center"/>
      <protection/>
    </xf>
    <xf numFmtId="4" fontId="46" fillId="0" borderId="36" xfId="28" applyNumberFormat="1" applyFont="1" applyFill="1" applyBorder="1" applyAlignment="1">
      <alignment horizontal="right" vertical="center" wrapText="1" indent="1"/>
      <protection/>
    </xf>
    <xf numFmtId="4" fontId="46" fillId="0" borderId="36" xfId="26" applyNumberFormat="1" applyFont="1" applyFill="1" applyBorder="1" applyAlignment="1">
      <alignment horizontal="right" vertical="center" indent="1"/>
      <protection/>
    </xf>
    <xf numFmtId="4" fontId="46" fillId="0" borderId="37" xfId="28" applyNumberFormat="1" applyFont="1" applyFill="1" applyBorder="1" applyAlignment="1">
      <alignment horizontal="right" vertical="center" indent="1"/>
      <protection/>
    </xf>
    <xf numFmtId="0" fontId="0" fillId="0" borderId="0" xfId="25" applyFont="1" applyFill="1">
      <alignment/>
      <protection/>
    </xf>
    <xf numFmtId="4" fontId="0" fillId="0" borderId="0" xfId="25" applyNumberFormat="1" applyFont="1" applyFill="1">
      <alignment/>
      <protection/>
    </xf>
    <xf numFmtId="0" fontId="0" fillId="0" borderId="0" xfId="32" applyFont="1" applyFill="1" applyAlignment="1">
      <alignment vertical="center"/>
      <protection/>
    </xf>
    <xf numFmtId="4" fontId="30" fillId="27" borderId="38" xfId="31" applyNumberFormat="1" applyFont="1" applyFill="1" applyBorder="1" applyAlignment="1">
      <alignment horizontal="right" vertical="center" indent="1"/>
      <protection/>
    </xf>
    <xf numFmtId="49" fontId="17" fillId="28" borderId="39" xfId="32" applyNumberFormat="1" applyFont="1" applyFill="1" applyBorder="1" applyAlignment="1">
      <alignment horizontal="center" vertical="center"/>
      <protection/>
    </xf>
    <xf numFmtId="49" fontId="32" fillId="28" borderId="40" xfId="32" applyNumberFormat="1" applyFont="1" applyFill="1" applyBorder="1" applyAlignment="1">
      <alignment horizontal="center" vertical="center"/>
      <protection/>
    </xf>
    <xf numFmtId="0" fontId="33" fillId="29" borderId="40" xfId="32" applyFont="1" applyFill="1" applyBorder="1" applyAlignment="1">
      <alignment vertical="center"/>
      <protection/>
    </xf>
    <xf numFmtId="0" fontId="17" fillId="28" borderId="40" xfId="32" applyFont="1" applyFill="1" applyBorder="1" applyAlignment="1">
      <alignment horizontal="center" vertical="center"/>
      <protection/>
    </xf>
    <xf numFmtId="166" fontId="17" fillId="28" borderId="40" xfId="32" applyNumberFormat="1" applyFont="1" applyFill="1" applyBorder="1" applyAlignment="1">
      <alignment horizontal="center" vertical="center"/>
      <protection/>
    </xf>
    <xf numFmtId="4" fontId="17" fillId="28" borderId="40" xfId="32" applyNumberFormat="1" applyFont="1" applyFill="1" applyBorder="1" applyAlignment="1">
      <alignment horizontal="center" vertical="center"/>
      <protection/>
    </xf>
    <xf numFmtId="4" fontId="17" fillId="28" borderId="41" xfId="32" applyNumberFormat="1" applyFont="1" applyFill="1" applyBorder="1" applyAlignment="1">
      <alignment horizontal="right" vertical="center" indent="1"/>
      <protection/>
    </xf>
    <xf numFmtId="165" fontId="31" fillId="0" borderId="0" xfId="32" applyNumberFormat="1" applyFont="1" applyBorder="1" applyAlignment="1">
      <alignment horizontal="right" vertical="center" indent="1"/>
      <protection/>
    </xf>
    <xf numFmtId="165" fontId="31" fillId="0" borderId="0" xfId="32" applyNumberFormat="1" applyFont="1" applyAlignment="1">
      <alignment horizontal="right" vertical="center" indent="1"/>
      <protection/>
    </xf>
    <xf numFmtId="165" fontId="34" fillId="0" borderId="0" xfId="32" applyNumberFormat="1" applyFont="1" applyAlignment="1">
      <alignment horizontal="right" vertical="center" indent="1"/>
      <protection/>
    </xf>
    <xf numFmtId="0" fontId="56" fillId="0" borderId="0" xfId="32" applyFont="1" applyAlignment="1">
      <alignment vertical="center"/>
      <protection/>
    </xf>
    <xf numFmtId="4" fontId="56" fillId="0" borderId="0" xfId="32" applyNumberFormat="1" applyFont="1" applyAlignment="1">
      <alignment vertical="center"/>
      <protection/>
    </xf>
    <xf numFmtId="0" fontId="17" fillId="0" borderId="0" xfId="32" applyFont="1" applyAlignment="1">
      <alignment vertical="center"/>
      <protection/>
    </xf>
    <xf numFmtId="164" fontId="16" fillId="0" borderId="0" xfId="0" applyNumberFormat="1" applyFont="1" applyFill="1" applyAlignment="1">
      <alignment horizontal="right" vertical="center" indent="1"/>
    </xf>
    <xf numFmtId="4" fontId="37" fillId="0" borderId="16" xfId="0" applyNumberFormat="1" applyFont="1" applyFill="1" applyBorder="1" applyAlignment="1">
      <alignment horizontal="right" vertical="center" indent="1"/>
    </xf>
    <xf numFmtId="49" fontId="50" fillId="0" borderId="12" xfId="25" applyNumberFormat="1" applyFont="1" applyFill="1" applyBorder="1" applyAlignment="1">
      <alignment horizontal="center" vertical="center"/>
      <protection/>
    </xf>
    <xf numFmtId="4" fontId="50" fillId="0" borderId="14" xfId="25" applyNumberFormat="1" applyFont="1" applyFill="1" applyBorder="1" applyAlignment="1">
      <alignment horizontal="right" vertical="center" indent="1"/>
      <protection/>
    </xf>
    <xf numFmtId="0" fontId="50" fillId="0" borderId="0" xfId="25" applyFont="1" applyFill="1" applyAlignment="1">
      <alignment vertical="center"/>
      <protection/>
    </xf>
    <xf numFmtId="0" fontId="3" fillId="0" borderId="42" xfId="25" applyFont="1" applyFill="1" applyBorder="1" applyAlignment="1">
      <alignment vertical="center" wrapText="1"/>
      <protection/>
    </xf>
    <xf numFmtId="49" fontId="3" fillId="0" borderId="42" xfId="25" applyNumberFormat="1" applyFont="1" applyFill="1" applyBorder="1" applyAlignment="1">
      <alignment horizontal="center" vertical="center" shrinkToFit="1"/>
      <protection/>
    </xf>
    <xf numFmtId="49" fontId="2" fillId="0" borderId="43" xfId="20" applyNumberFormat="1" applyFont="1" applyBorder="1" applyAlignment="1">
      <alignment vertical="center"/>
      <protection/>
    </xf>
    <xf numFmtId="49" fontId="2" fillId="0" borderId="44" xfId="20" applyNumberFormat="1" applyFont="1" applyBorder="1" applyAlignment="1">
      <alignment horizontal="center" vertical="center" wrapText="1"/>
      <protection/>
    </xf>
    <xf numFmtId="49" fontId="5" fillId="0" borderId="45" xfId="20" applyNumberFormat="1" applyFont="1" applyBorder="1" applyAlignment="1">
      <alignment horizontal="center" vertical="center"/>
      <protection/>
    </xf>
    <xf numFmtId="165" fontId="7" fillId="0" borderId="0" xfId="20" applyNumberFormat="1" applyFont="1" applyAlignment="1">
      <alignment horizontal="right" vertical="center" indent="1"/>
      <protection/>
    </xf>
    <xf numFmtId="0" fontId="0" fillId="0" borderId="0" xfId="20" applyAlignment="1">
      <alignment vertical="center"/>
      <protection/>
    </xf>
    <xf numFmtId="4" fontId="0" fillId="0" borderId="0" xfId="20" applyNumberFormat="1" applyAlignment="1">
      <alignment vertical="center"/>
      <protection/>
    </xf>
    <xf numFmtId="49" fontId="2" fillId="0" borderId="46" xfId="20" applyNumberFormat="1" applyFont="1" applyBorder="1" applyAlignment="1">
      <alignment vertical="center"/>
      <protection/>
    </xf>
    <xf numFmtId="4" fontId="8" fillId="0" borderId="0" xfId="20" applyNumberFormat="1" applyFont="1" applyBorder="1" applyAlignment="1">
      <alignment horizontal="left" vertical="center"/>
      <protection/>
    </xf>
    <xf numFmtId="4" fontId="2" fillId="0" borderId="11" xfId="20" applyNumberFormat="1" applyFont="1" applyBorder="1" applyAlignment="1">
      <alignment vertical="center" wrapText="1"/>
      <protection/>
    </xf>
    <xf numFmtId="0" fontId="0" fillId="0" borderId="0" xfId="20">
      <alignment/>
      <protection/>
    </xf>
    <xf numFmtId="4" fontId="0" fillId="0" borderId="0" xfId="20" applyNumberFormat="1">
      <alignment/>
      <protection/>
    </xf>
    <xf numFmtId="0" fontId="14" fillId="0" borderId="0" xfId="20" applyFont="1" applyAlignment="1">
      <alignment vertical="center"/>
      <protection/>
    </xf>
    <xf numFmtId="0" fontId="15" fillId="0" borderId="0" xfId="20" applyFont="1" applyFill="1" applyBorder="1" applyAlignment="1">
      <alignment horizontal="center" vertical="center"/>
      <protection/>
    </xf>
    <xf numFmtId="0" fontId="15" fillId="0" borderId="0" xfId="20" applyFont="1" applyFill="1" applyBorder="1" applyAlignment="1">
      <alignment vertical="center"/>
      <protection/>
    </xf>
    <xf numFmtId="0" fontId="0" fillId="0" borderId="0" xfId="20" applyFill="1" applyBorder="1" applyAlignment="1">
      <alignment/>
      <protection/>
    </xf>
    <xf numFmtId="4" fontId="0" fillId="0" borderId="0" xfId="20" applyNumberFormat="1" applyFont="1" applyFill="1" applyBorder="1" applyAlignment="1">
      <alignment horizontal="center" vertical="center"/>
      <protection/>
    </xf>
    <xf numFmtId="4" fontId="0" fillId="0" borderId="11" xfId="20" applyNumberFormat="1" applyFill="1" applyBorder="1" applyAlignment="1">
      <alignment vertical="center"/>
      <protection/>
    </xf>
    <xf numFmtId="164" fontId="7" fillId="0" borderId="0" xfId="20" applyNumberFormat="1" applyFont="1" applyBorder="1" applyAlignment="1">
      <alignment horizontal="right" vertical="center" indent="1"/>
      <protection/>
    </xf>
    <xf numFmtId="49" fontId="3" fillId="0" borderId="47" xfId="20" applyNumberFormat="1" applyFont="1" applyBorder="1" applyAlignment="1">
      <alignment horizontal="center"/>
      <protection/>
    </xf>
    <xf numFmtId="49" fontId="0" fillId="0" borderId="48" xfId="20" applyNumberFormat="1" applyBorder="1" applyAlignment="1">
      <alignment horizontal="center"/>
      <protection/>
    </xf>
    <xf numFmtId="0" fontId="0" fillId="0" borderId="48" xfId="20" applyBorder="1">
      <alignment/>
      <protection/>
    </xf>
    <xf numFmtId="166" fontId="0" fillId="0" borderId="48" xfId="20" applyNumberFormat="1" applyBorder="1">
      <alignment/>
      <protection/>
    </xf>
    <xf numFmtId="4" fontId="0" fillId="0" borderId="48" xfId="20" applyNumberFormat="1" applyFont="1" applyBorder="1" applyAlignment="1">
      <alignment horizontal="center" vertical="center"/>
      <protection/>
    </xf>
    <xf numFmtId="4" fontId="0" fillId="0" borderId="49" xfId="20" applyNumberFormat="1" applyBorder="1">
      <alignment/>
      <protection/>
    </xf>
    <xf numFmtId="164" fontId="16" fillId="0" borderId="0" xfId="20" applyNumberFormat="1" applyFont="1" applyBorder="1" applyAlignment="1">
      <alignment horizontal="right" vertical="center" indent="1"/>
      <protection/>
    </xf>
    <xf numFmtId="49" fontId="3" fillId="0" borderId="50" xfId="20" applyNumberFormat="1" applyFont="1" applyBorder="1" applyAlignment="1">
      <alignment horizontal="center" vertical="center" wrapText="1"/>
      <protection/>
    </xf>
    <xf numFmtId="49" fontId="3" fillId="0" borderId="51" xfId="20" applyNumberFormat="1" applyFont="1" applyBorder="1" applyAlignment="1">
      <alignment horizontal="center" vertical="center" wrapText="1"/>
      <protection/>
    </xf>
    <xf numFmtId="0" fontId="17" fillId="0" borderId="52" xfId="20" applyFont="1" applyBorder="1" applyAlignment="1">
      <alignment horizontal="center" vertical="center" wrapText="1"/>
      <protection/>
    </xf>
    <xf numFmtId="0" fontId="3" fillId="0" borderId="52" xfId="20" applyFont="1" applyBorder="1" applyAlignment="1">
      <alignment horizontal="center" vertical="center" wrapText="1"/>
      <protection/>
    </xf>
    <xf numFmtId="166" fontId="3" fillId="0" borderId="52" xfId="20" applyNumberFormat="1" applyFont="1" applyBorder="1" applyAlignment="1">
      <alignment horizontal="center" vertical="center" wrapText="1"/>
      <protection/>
    </xf>
    <xf numFmtId="4" fontId="3" fillId="0" borderId="52" xfId="20" applyNumberFormat="1" applyFont="1" applyBorder="1" applyAlignment="1">
      <alignment horizontal="center" vertical="center" wrapText="1"/>
      <protection/>
    </xf>
    <xf numFmtId="4" fontId="3" fillId="0" borderId="53" xfId="20" applyNumberFormat="1" applyFont="1" applyBorder="1" applyAlignment="1">
      <alignment horizontal="center" vertical="center" wrapText="1"/>
      <protection/>
    </xf>
    <xf numFmtId="165" fontId="16" fillId="0" borderId="0" xfId="20" applyNumberFormat="1" applyFont="1" applyAlignment="1">
      <alignment horizontal="right" vertical="center" wrapText="1" indent="1"/>
      <protection/>
    </xf>
    <xf numFmtId="0" fontId="3" fillId="0" borderId="0" xfId="20" applyFont="1" applyAlignment="1">
      <alignment horizontal="center" vertical="center" wrapText="1"/>
      <protection/>
    </xf>
    <xf numFmtId="4" fontId="3" fillId="0" borderId="0" xfId="20" applyNumberFormat="1" applyFont="1" applyAlignment="1">
      <alignment horizontal="center" vertical="center" wrapText="1"/>
      <protection/>
    </xf>
    <xf numFmtId="49" fontId="3" fillId="0" borderId="54" xfId="20" applyNumberFormat="1" applyFont="1" applyFill="1" applyBorder="1" applyAlignment="1">
      <alignment horizontal="center" vertical="center" wrapText="1"/>
      <protection/>
    </xf>
    <xf numFmtId="49" fontId="3" fillId="0" borderId="55" xfId="20" applyNumberFormat="1" applyFont="1" applyFill="1" applyBorder="1" applyAlignment="1">
      <alignment horizontal="center" vertical="center" wrapText="1"/>
      <protection/>
    </xf>
    <xf numFmtId="0" fontId="17" fillId="0" borderId="16" xfId="20" applyFont="1" applyFill="1" applyBorder="1" applyAlignment="1">
      <alignment vertical="center" wrapText="1"/>
      <protection/>
    </xf>
    <xf numFmtId="0" fontId="3" fillId="0" borderId="16" xfId="20" applyFont="1" applyFill="1" applyBorder="1" applyAlignment="1">
      <alignment horizontal="center" vertical="center" wrapText="1"/>
      <protection/>
    </xf>
    <xf numFmtId="166" fontId="3" fillId="0" borderId="16" xfId="20" applyNumberFormat="1" applyFont="1" applyFill="1" applyBorder="1" applyAlignment="1">
      <alignment horizontal="center" vertical="center" wrapText="1"/>
      <protection/>
    </xf>
    <xf numFmtId="4" fontId="3" fillId="0" borderId="16" xfId="20" applyNumberFormat="1" applyFont="1" applyFill="1" applyBorder="1" applyAlignment="1">
      <alignment horizontal="center" vertical="center" wrapText="1"/>
      <protection/>
    </xf>
    <xf numFmtId="4" fontId="3" fillId="0" borderId="56" xfId="20" applyNumberFormat="1" applyFont="1" applyFill="1" applyBorder="1" applyAlignment="1">
      <alignment horizontal="center" vertical="center" wrapText="1"/>
      <protection/>
    </xf>
    <xf numFmtId="164" fontId="16" fillId="0" borderId="0" xfId="20" applyNumberFormat="1" applyFont="1" applyFill="1" applyBorder="1" applyAlignment="1">
      <alignment horizontal="right" vertical="center" indent="1"/>
      <protection/>
    </xf>
    <xf numFmtId="165" fontId="16" fillId="0" borderId="0" xfId="20" applyNumberFormat="1" applyFont="1" applyFill="1" applyAlignment="1">
      <alignment horizontal="right" vertical="center" wrapText="1" indent="1"/>
      <protection/>
    </xf>
    <xf numFmtId="0" fontId="3" fillId="0" borderId="0" xfId="20" applyFont="1" applyFill="1" applyAlignment="1">
      <alignment horizontal="center" vertical="center" wrapText="1"/>
      <protection/>
    </xf>
    <xf numFmtId="4" fontId="3" fillId="0" borderId="0" xfId="20" applyNumberFormat="1" applyFont="1" applyFill="1" applyAlignment="1">
      <alignment horizontal="center" vertical="center" wrapText="1"/>
      <protection/>
    </xf>
    <xf numFmtId="49" fontId="18" fillId="0" borderId="12" xfId="20" applyNumberFormat="1" applyFont="1" applyFill="1" applyBorder="1" applyAlignment="1">
      <alignment horizontal="left"/>
      <protection/>
    </xf>
    <xf numFmtId="49" fontId="18" fillId="0" borderId="13" xfId="20" applyNumberFormat="1" applyFont="1" applyFill="1" applyBorder="1" applyAlignment="1">
      <alignment horizontal="center"/>
      <protection/>
    </xf>
    <xf numFmtId="49" fontId="19" fillId="0" borderId="14" xfId="20" applyNumberFormat="1" applyFont="1" applyFill="1" applyBorder="1" applyAlignment="1">
      <alignment horizontal="left" vertical="center" wrapText="1"/>
      <protection/>
    </xf>
    <xf numFmtId="49" fontId="18" fillId="0" borderId="14" xfId="20" applyNumberFormat="1" applyFont="1" applyFill="1" applyBorder="1" applyAlignment="1">
      <alignment horizontal="left"/>
      <protection/>
    </xf>
    <xf numFmtId="0" fontId="20" fillId="0" borderId="14" xfId="20" applyFont="1" applyBorder="1" applyAlignment="1">
      <alignment horizontal="left"/>
      <protection/>
    </xf>
    <xf numFmtId="0" fontId="20" fillId="0" borderId="15" xfId="20" applyFont="1" applyBorder="1" applyAlignment="1">
      <alignment horizontal="left"/>
      <protection/>
    </xf>
    <xf numFmtId="0" fontId="19" fillId="0" borderId="14" xfId="20" applyNumberFormat="1" applyFont="1" applyFill="1" applyBorder="1" applyAlignment="1">
      <alignment vertical="center" wrapText="1"/>
      <protection/>
    </xf>
    <xf numFmtId="49" fontId="24" fillId="0" borderId="12" xfId="20" applyNumberFormat="1" applyFont="1" applyFill="1" applyBorder="1" applyAlignment="1">
      <alignment horizontal="left"/>
      <protection/>
    </xf>
    <xf numFmtId="49" fontId="24" fillId="0" borderId="13" xfId="20" applyNumberFormat="1" applyFont="1" applyFill="1" applyBorder="1" applyAlignment="1">
      <alignment horizontal="center"/>
      <protection/>
    </xf>
    <xf numFmtId="49" fontId="24" fillId="0" borderId="14" xfId="20" applyNumberFormat="1" applyFont="1" applyFill="1" applyBorder="1" applyAlignment="1">
      <alignment horizontal="center"/>
      <protection/>
    </xf>
    <xf numFmtId="4" fontId="24" fillId="0" borderId="14" xfId="20" applyNumberFormat="1" applyFont="1" applyFill="1" applyBorder="1" applyAlignment="1">
      <alignment horizontal="left"/>
      <protection/>
    </xf>
    <xf numFmtId="0" fontId="3" fillId="0" borderId="14" xfId="20" applyFont="1" applyBorder="1">
      <alignment/>
      <protection/>
    </xf>
    <xf numFmtId="0" fontId="3" fillId="0" borderId="15" xfId="20" applyFont="1" applyBorder="1">
      <alignment/>
      <protection/>
    </xf>
    <xf numFmtId="49" fontId="3" fillId="0" borderId="12" xfId="20" applyNumberFormat="1" applyFont="1" applyBorder="1" applyAlignment="1">
      <alignment horizontal="center" vertical="center" wrapText="1"/>
      <protection/>
    </xf>
    <xf numFmtId="49" fontId="3" fillId="0" borderId="13" xfId="20" applyNumberFormat="1" applyFont="1" applyBorder="1" applyAlignment="1">
      <alignment horizontal="center" vertical="center" wrapText="1"/>
      <protection/>
    </xf>
    <xf numFmtId="0" fontId="3" fillId="0" borderId="14" xfId="20" applyFont="1" applyBorder="1" applyAlignment="1">
      <alignment horizontal="center" vertical="center" wrapText="1"/>
      <protection/>
    </xf>
    <xf numFmtId="166" fontId="3" fillId="0" borderId="14" xfId="20" applyNumberFormat="1" applyFont="1" applyBorder="1" applyAlignment="1">
      <alignment horizontal="center" vertical="center" wrapText="1"/>
      <protection/>
    </xf>
    <xf numFmtId="4" fontId="3" fillId="0" borderId="14" xfId="20" applyNumberFormat="1" applyFont="1" applyBorder="1" applyAlignment="1">
      <alignment horizontal="center" vertical="center" wrapText="1"/>
      <protection/>
    </xf>
    <xf numFmtId="4" fontId="3" fillId="0" borderId="15" xfId="20" applyNumberFormat="1" applyFont="1" applyBorder="1" applyAlignment="1">
      <alignment horizontal="center" vertical="center" wrapText="1"/>
      <protection/>
    </xf>
    <xf numFmtId="49" fontId="3" fillId="0" borderId="12" xfId="20" applyNumberFormat="1" applyFont="1" applyBorder="1" applyAlignment="1">
      <alignment horizontal="center" vertical="center"/>
      <protection/>
    </xf>
    <xf numFmtId="49" fontId="0" fillId="0" borderId="13" xfId="20" applyNumberFormat="1" applyBorder="1" applyAlignment="1">
      <alignment horizontal="center" vertical="center"/>
      <protection/>
    </xf>
    <xf numFmtId="0" fontId="9" fillId="0" borderId="14" xfId="20" applyFont="1" applyBorder="1" applyAlignment="1">
      <alignment vertical="center"/>
      <protection/>
    </xf>
    <xf numFmtId="0" fontId="0" fillId="0" borderId="14" xfId="20" applyBorder="1" applyAlignment="1">
      <alignment vertical="center"/>
      <protection/>
    </xf>
    <xf numFmtId="166" fontId="0" fillId="0" borderId="14" xfId="20" applyNumberFormat="1" applyBorder="1" applyAlignment="1">
      <alignment vertical="center"/>
      <protection/>
    </xf>
    <xf numFmtId="4" fontId="0" fillId="0" borderId="14" xfId="20" applyNumberFormat="1" applyFont="1" applyBorder="1" applyAlignment="1">
      <alignment horizontal="center" vertical="center"/>
      <protection/>
    </xf>
    <xf numFmtId="4" fontId="0" fillId="0" borderId="15" xfId="20" applyNumberFormat="1" applyBorder="1" applyAlignment="1">
      <alignment horizontal="right" vertical="center"/>
      <protection/>
    </xf>
    <xf numFmtId="49" fontId="3" fillId="0" borderId="13" xfId="20" applyNumberFormat="1" applyFont="1" applyBorder="1" applyAlignment="1">
      <alignment horizontal="center" vertical="center"/>
      <protection/>
    </xf>
    <xf numFmtId="49" fontId="3" fillId="0" borderId="14" xfId="20" applyNumberFormat="1" applyFont="1" applyBorder="1" applyAlignment="1">
      <alignment vertical="center"/>
      <protection/>
    </xf>
    <xf numFmtId="0" fontId="3" fillId="0" borderId="14" xfId="20" applyFont="1" applyBorder="1" applyAlignment="1">
      <alignment vertical="center"/>
      <protection/>
    </xf>
    <xf numFmtId="166" fontId="3" fillId="0" borderId="14" xfId="20" applyNumberFormat="1" applyFont="1" applyBorder="1" applyAlignment="1">
      <alignment vertical="center"/>
      <protection/>
    </xf>
    <xf numFmtId="4" fontId="3" fillId="0" borderId="14" xfId="20" applyNumberFormat="1" applyFont="1" applyBorder="1" applyAlignment="1">
      <alignment horizontal="center" vertical="center"/>
      <protection/>
    </xf>
    <xf numFmtId="4" fontId="3" fillId="0" borderId="15" xfId="20" applyNumberFormat="1" applyFont="1" applyBorder="1" applyAlignment="1">
      <alignment horizontal="right" vertical="center" indent="1"/>
      <protection/>
    </xf>
    <xf numFmtId="165" fontId="16" fillId="0" borderId="0" xfId="20" applyNumberFormat="1" applyFont="1" applyAlignment="1">
      <alignment horizontal="right" vertical="center" indent="1"/>
      <protection/>
    </xf>
    <xf numFmtId="0" fontId="3" fillId="0" borderId="0" xfId="20" applyFont="1" applyAlignment="1">
      <alignment vertical="center"/>
      <protection/>
    </xf>
    <xf numFmtId="4" fontId="3" fillId="0" borderId="0" xfId="20" applyNumberFormat="1" applyFont="1" applyAlignment="1">
      <alignment vertical="center"/>
      <protection/>
    </xf>
    <xf numFmtId="49" fontId="3" fillId="0" borderId="12" xfId="20" applyNumberFormat="1" applyFont="1" applyFill="1" applyBorder="1" applyAlignment="1">
      <alignment horizontal="center" vertical="center"/>
      <protection/>
    </xf>
    <xf numFmtId="49" fontId="3" fillId="0" borderId="13" xfId="20" applyNumberFormat="1" applyFont="1" applyFill="1" applyBorder="1" applyAlignment="1">
      <alignment horizontal="center" vertical="center"/>
      <protection/>
    </xf>
    <xf numFmtId="4" fontId="3" fillId="0" borderId="15" xfId="20" applyNumberFormat="1" applyFont="1" applyFill="1" applyBorder="1" applyAlignment="1">
      <alignment horizontal="right" vertical="center" indent="1"/>
      <protection/>
    </xf>
    <xf numFmtId="49" fontId="3" fillId="0" borderId="14" xfId="20" applyNumberFormat="1" applyFont="1" applyFill="1" applyBorder="1" applyAlignment="1">
      <alignment vertical="center"/>
      <protection/>
    </xf>
    <xf numFmtId="0" fontId="3" fillId="0" borderId="14" xfId="20" applyFont="1" applyFill="1" applyBorder="1" applyAlignment="1">
      <alignment vertical="center"/>
      <protection/>
    </xf>
    <xf numFmtId="166" fontId="3" fillId="0" borderId="14" xfId="20" applyNumberFormat="1" applyFont="1" applyFill="1" applyBorder="1" applyAlignment="1">
      <alignment vertical="center"/>
      <protection/>
    </xf>
    <xf numFmtId="4" fontId="3" fillId="0" borderId="14" xfId="20" applyNumberFormat="1" applyFont="1" applyFill="1" applyBorder="1" applyAlignment="1">
      <alignment horizontal="center" vertical="center"/>
      <protection/>
    </xf>
    <xf numFmtId="165" fontId="16" fillId="0" borderId="0" xfId="20" applyNumberFormat="1" applyFont="1" applyFill="1" applyAlignment="1">
      <alignment horizontal="right" vertical="center" indent="1"/>
      <protection/>
    </xf>
    <xf numFmtId="0" fontId="3" fillId="0" borderId="0" xfId="20" applyFont="1" applyFill="1" applyAlignment="1">
      <alignment vertical="center"/>
      <protection/>
    </xf>
    <xf numFmtId="4" fontId="3" fillId="0" borderId="0" xfId="20" applyNumberFormat="1" applyFont="1" applyFill="1" applyAlignment="1">
      <alignment vertical="center"/>
      <protection/>
    </xf>
    <xf numFmtId="49" fontId="3" fillId="0" borderId="57" xfId="20" applyNumberFormat="1" applyFont="1" applyFill="1" applyBorder="1" applyAlignment="1">
      <alignment horizontal="center" vertical="center"/>
      <protection/>
    </xf>
    <xf numFmtId="49" fontId="3" fillId="0" borderId="58" xfId="20" applyNumberFormat="1" applyFont="1" applyFill="1" applyBorder="1" applyAlignment="1">
      <alignment horizontal="center" vertical="center"/>
      <protection/>
    </xf>
    <xf numFmtId="49" fontId="3" fillId="0" borderId="42" xfId="20" applyNumberFormat="1" applyFont="1" applyBorder="1" applyAlignment="1">
      <alignment vertical="center"/>
      <protection/>
    </xf>
    <xf numFmtId="0" fontId="3" fillId="0" borderId="42" xfId="20" applyFont="1" applyBorder="1" applyAlignment="1">
      <alignment vertical="center"/>
      <protection/>
    </xf>
    <xf numFmtId="166" fontId="3" fillId="0" borderId="42" xfId="20" applyNumberFormat="1" applyFont="1" applyBorder="1" applyAlignment="1">
      <alignment vertical="center"/>
      <protection/>
    </xf>
    <xf numFmtId="4" fontId="3" fillId="0" borderId="42" xfId="20" applyNumberFormat="1" applyFont="1" applyBorder="1" applyAlignment="1">
      <alignment horizontal="center" vertical="center"/>
      <protection/>
    </xf>
    <xf numFmtId="4" fontId="3" fillId="0" borderId="59" xfId="20" applyNumberFormat="1" applyFont="1" applyBorder="1" applyAlignment="1">
      <alignment horizontal="right" vertical="center" indent="1"/>
      <protection/>
    </xf>
    <xf numFmtId="49" fontId="3" fillId="0" borderId="20" xfId="20" applyNumberFormat="1" applyFont="1" applyBorder="1" applyAlignment="1">
      <alignment horizontal="center" vertical="center"/>
      <protection/>
    </xf>
    <xf numFmtId="49" fontId="0" fillId="0" borderId="60" xfId="20" applyNumberFormat="1" applyBorder="1" applyAlignment="1">
      <alignment horizontal="center" vertical="center"/>
      <protection/>
    </xf>
    <xf numFmtId="0" fontId="0" fillId="0" borderId="21" xfId="20" applyBorder="1" applyAlignment="1">
      <alignment vertical="center"/>
      <protection/>
    </xf>
    <xf numFmtId="166" fontId="0" fillId="0" borderId="21" xfId="20" applyNumberFormat="1" applyBorder="1" applyAlignment="1">
      <alignment vertical="center"/>
      <protection/>
    </xf>
    <xf numFmtId="4" fontId="0" fillId="0" borderId="21" xfId="20" applyNumberFormat="1" applyFont="1" applyBorder="1" applyAlignment="1">
      <alignment horizontal="center" vertical="center"/>
      <protection/>
    </xf>
    <xf numFmtId="4" fontId="0" fillId="0" borderId="22" xfId="20" applyNumberFormat="1" applyBorder="1" applyAlignment="1">
      <alignment horizontal="right" vertical="center" indent="1"/>
      <protection/>
    </xf>
    <xf numFmtId="49" fontId="28" fillId="23" borderId="61" xfId="20" applyNumberFormat="1" applyFont="1" applyFill="1" applyBorder="1" applyAlignment="1">
      <alignment horizontal="center" vertical="center"/>
      <protection/>
    </xf>
    <xf numFmtId="49" fontId="29" fillId="23" borderId="62" xfId="20" applyNumberFormat="1" applyFont="1" applyFill="1" applyBorder="1" applyAlignment="1">
      <alignment horizontal="center" vertical="center"/>
      <protection/>
    </xf>
    <xf numFmtId="0" fontId="29" fillId="23" borderId="62" xfId="20" applyFont="1" applyFill="1" applyBorder="1" applyAlignment="1">
      <alignment vertical="center"/>
      <protection/>
    </xf>
    <xf numFmtId="166" fontId="29" fillId="23" borderId="62" xfId="20" applyNumberFormat="1" applyFont="1" applyFill="1" applyBorder="1" applyAlignment="1">
      <alignment vertical="center"/>
      <protection/>
    </xf>
    <xf numFmtId="4" fontId="11" fillId="23" borderId="62" xfId="20" applyNumberFormat="1" applyFont="1" applyFill="1" applyBorder="1" applyAlignment="1">
      <alignment horizontal="center" vertical="center"/>
      <protection/>
    </xf>
    <xf numFmtId="4" fontId="30" fillId="23" borderId="38" xfId="20" applyNumberFormat="1" applyFont="1" applyFill="1" applyBorder="1" applyAlignment="1">
      <alignment horizontal="right" vertical="center" indent="1"/>
      <protection/>
    </xf>
    <xf numFmtId="164" fontId="31" fillId="0" borderId="0" xfId="20" applyNumberFormat="1" applyFont="1" applyBorder="1" applyAlignment="1">
      <alignment horizontal="right" vertical="center" indent="1"/>
      <protection/>
    </xf>
    <xf numFmtId="165" fontId="12" fillId="0" borderId="0" xfId="20" applyNumberFormat="1" applyFont="1" applyAlignment="1">
      <alignment horizontal="right" vertical="center" indent="1"/>
      <protection/>
    </xf>
    <xf numFmtId="0" fontId="29" fillId="0" borderId="0" xfId="20" applyFont="1" applyAlignment="1">
      <alignment vertical="center"/>
      <protection/>
    </xf>
    <xf numFmtId="4" fontId="29" fillId="0" borderId="0" xfId="20" applyNumberFormat="1" applyFont="1" applyAlignment="1">
      <alignment vertical="center"/>
      <protection/>
    </xf>
    <xf numFmtId="49" fontId="3" fillId="30" borderId="61" xfId="20" applyNumberFormat="1" applyFont="1" applyFill="1" applyBorder="1" applyAlignment="1">
      <alignment horizontal="center"/>
      <protection/>
    </xf>
    <xf numFmtId="49" fontId="0" fillId="30" borderId="62" xfId="20" applyNumberFormat="1" applyFill="1" applyBorder="1" applyAlignment="1">
      <alignment horizontal="center"/>
      <protection/>
    </xf>
    <xf numFmtId="0" fontId="0" fillId="30" borderId="62" xfId="20" applyFill="1" applyBorder="1">
      <alignment/>
      <protection/>
    </xf>
    <xf numFmtId="166" fontId="0" fillId="30" borderId="62" xfId="20" applyNumberFormat="1" applyFill="1" applyBorder="1" applyAlignment="1">
      <alignment horizontal="right" vertical="center" indent="1"/>
      <protection/>
    </xf>
    <xf numFmtId="4" fontId="0" fillId="30" borderId="62" xfId="20" applyNumberFormat="1" applyFont="1" applyFill="1" applyBorder="1" applyAlignment="1">
      <alignment horizontal="center" vertical="center"/>
      <protection/>
    </xf>
    <xf numFmtId="4" fontId="0" fillId="30" borderId="38" xfId="20" applyNumberFormat="1" applyFill="1" applyBorder="1" applyAlignment="1">
      <alignment horizontal="right" vertical="center" indent="1"/>
      <protection/>
    </xf>
    <xf numFmtId="49" fontId="32" fillId="28" borderId="61" xfId="20" applyNumberFormat="1" applyFont="1" applyFill="1" applyBorder="1" applyAlignment="1">
      <alignment horizontal="center" vertical="center"/>
      <protection/>
    </xf>
    <xf numFmtId="49" fontId="17" fillId="28" borderId="62" xfId="20" applyNumberFormat="1" applyFont="1" applyFill="1" applyBorder="1" applyAlignment="1">
      <alignment horizontal="center" vertical="center"/>
      <protection/>
    </xf>
    <xf numFmtId="0" fontId="33" fillId="28" borderId="62" xfId="20" applyFont="1" applyFill="1" applyBorder="1" applyAlignment="1">
      <alignment vertical="center"/>
      <protection/>
    </xf>
    <xf numFmtId="0" fontId="17" fillId="28" borderId="62" xfId="20" applyFont="1" applyFill="1" applyBorder="1" applyAlignment="1">
      <alignment horizontal="center" vertical="center"/>
      <protection/>
    </xf>
    <xf numFmtId="166" fontId="17" fillId="28" borderId="62" xfId="20" applyNumberFormat="1" applyFont="1" applyFill="1" applyBorder="1" applyAlignment="1">
      <alignment horizontal="center" vertical="center"/>
      <protection/>
    </xf>
    <xf numFmtId="4" fontId="17" fillId="28" borderId="62" xfId="20" applyNumberFormat="1" applyFont="1" applyFill="1" applyBorder="1" applyAlignment="1">
      <alignment horizontal="center" vertical="center"/>
      <protection/>
    </xf>
    <xf numFmtId="4" fontId="17" fillId="28" borderId="38" xfId="20" applyNumberFormat="1" applyFont="1" applyFill="1" applyBorder="1" applyAlignment="1">
      <alignment horizontal="right" vertical="center" indent="1"/>
      <protection/>
    </xf>
    <xf numFmtId="165" fontId="34" fillId="0" borderId="0" xfId="20" applyNumberFormat="1" applyFont="1" applyAlignment="1">
      <alignment horizontal="right" vertical="center" indent="1"/>
      <protection/>
    </xf>
    <xf numFmtId="0" fontId="17" fillId="0" borderId="0" xfId="20" applyFont="1" applyAlignment="1">
      <alignment vertical="center"/>
      <protection/>
    </xf>
    <xf numFmtId="4" fontId="17" fillId="0" borderId="0" xfId="20" applyNumberFormat="1" applyFont="1" applyAlignment="1">
      <alignment vertical="center"/>
      <protection/>
    </xf>
    <xf numFmtId="49" fontId="3" fillId="0" borderId="17" xfId="20" applyNumberFormat="1" applyFont="1" applyBorder="1" applyAlignment="1">
      <alignment horizontal="center" vertical="center"/>
      <protection/>
    </xf>
    <xf numFmtId="49" fontId="0" fillId="0" borderId="63" xfId="20" applyNumberFormat="1" applyBorder="1" applyAlignment="1">
      <alignment horizontal="center" vertical="center"/>
      <protection/>
    </xf>
    <xf numFmtId="0" fontId="0" fillId="0" borderId="18" xfId="20" applyBorder="1" applyAlignment="1">
      <alignment vertical="center" wrapText="1"/>
      <protection/>
    </xf>
    <xf numFmtId="0" fontId="0" fillId="0" borderId="18" xfId="20" applyBorder="1" applyAlignment="1">
      <alignment horizontal="center" vertical="center"/>
      <protection/>
    </xf>
    <xf numFmtId="166" fontId="0" fillId="0" borderId="18" xfId="20" applyNumberFormat="1" applyFill="1" applyBorder="1" applyAlignment="1">
      <alignment horizontal="center" vertical="center"/>
      <protection/>
    </xf>
    <xf numFmtId="4" fontId="0" fillId="0" borderId="18" xfId="20" applyNumberFormat="1" applyFont="1" applyBorder="1" applyAlignment="1">
      <alignment horizontal="center" vertical="center"/>
      <protection/>
    </xf>
    <xf numFmtId="4" fontId="0" fillId="0" borderId="19" xfId="20" applyNumberFormat="1" applyBorder="1" applyAlignment="1">
      <alignment horizontal="right" vertical="center" indent="1"/>
      <protection/>
    </xf>
    <xf numFmtId="4" fontId="3" fillId="0" borderId="15" xfId="20" applyNumberFormat="1" applyFont="1" applyFill="1" applyBorder="1" applyAlignment="1">
      <alignment horizontal="right" vertical="center" wrapText="1" indent="1"/>
      <protection/>
    </xf>
    <xf numFmtId="49" fontId="89" fillId="0" borderId="12" xfId="279" applyNumberFormat="1" applyFont="1" applyFill="1" applyBorder="1" applyAlignment="1">
      <alignment horizontal="center" vertical="center"/>
      <protection/>
    </xf>
    <xf numFmtId="49" fontId="89" fillId="0" borderId="14" xfId="279" applyNumberFormat="1" applyFont="1" applyFill="1" applyBorder="1" applyAlignment="1">
      <alignment horizontal="center" vertical="center"/>
      <protection/>
    </xf>
    <xf numFmtId="4" fontId="89" fillId="0" borderId="14" xfId="279" applyNumberFormat="1" applyFont="1" applyFill="1" applyBorder="1" applyAlignment="1">
      <alignment horizontal="right" vertical="center" indent="1"/>
      <protection/>
    </xf>
    <xf numFmtId="4" fontId="50" fillId="0" borderId="15" xfId="20" applyNumberFormat="1" applyFont="1" applyFill="1" applyBorder="1" applyAlignment="1">
      <alignment horizontal="right" vertical="center" wrapText="1" indent="1"/>
      <protection/>
    </xf>
    <xf numFmtId="164" fontId="89" fillId="0" borderId="0" xfId="279" applyNumberFormat="1" applyFont="1" applyFill="1" applyBorder="1" applyAlignment="1">
      <alignment horizontal="right" vertical="center" indent="1"/>
      <protection/>
    </xf>
    <xf numFmtId="165" fontId="90" fillId="0" borderId="0" xfId="279" applyNumberFormat="1" applyFont="1" applyFill="1" applyAlignment="1">
      <alignment horizontal="right" vertical="center" indent="1"/>
      <protection/>
    </xf>
    <xf numFmtId="0" fontId="90" fillId="0" borderId="0" xfId="279" applyFont="1" applyFill="1" applyAlignment="1">
      <alignment vertical="center"/>
      <protection/>
    </xf>
    <xf numFmtId="4" fontId="90" fillId="0" borderId="0" xfId="279" applyNumberFormat="1" applyFont="1" applyFill="1" applyAlignment="1">
      <alignment vertical="center"/>
      <protection/>
    </xf>
    <xf numFmtId="49" fontId="2" fillId="0" borderId="14" xfId="279" applyNumberFormat="1" applyFont="1" applyFill="1" applyBorder="1" applyAlignment="1">
      <alignment horizontal="center" vertical="center"/>
      <protection/>
    </xf>
    <xf numFmtId="4" fontId="2" fillId="0" borderId="14" xfId="279" applyNumberFormat="1" applyFont="1" applyFill="1" applyBorder="1" applyAlignment="1">
      <alignment horizontal="right" vertical="center" indent="1"/>
      <protection/>
    </xf>
    <xf numFmtId="0" fontId="0" fillId="0" borderId="16" xfId="20" applyFont="1" applyFill="1" applyBorder="1" applyAlignment="1">
      <alignment vertical="center" wrapText="1"/>
      <protection/>
    </xf>
    <xf numFmtId="164" fontId="43" fillId="0" borderId="0" xfId="279" applyNumberFormat="1" applyFont="1" applyFill="1" applyBorder="1" applyAlignment="1">
      <alignment horizontal="right" vertical="center" indent="1"/>
      <protection/>
    </xf>
    <xf numFmtId="165" fontId="43" fillId="0" borderId="0" xfId="279" applyNumberFormat="1" applyFont="1" applyFill="1" applyBorder="1" applyAlignment="1">
      <alignment horizontal="right" vertical="center" indent="1"/>
      <protection/>
    </xf>
    <xf numFmtId="49" fontId="3" fillId="0" borderId="13" xfId="279" applyNumberFormat="1" applyFont="1" applyFill="1" applyBorder="1" applyAlignment="1">
      <alignment horizontal="center" vertical="center"/>
      <protection/>
    </xf>
    <xf numFmtId="0" fontId="3" fillId="0" borderId="14" xfId="279" applyFont="1" applyFill="1" applyBorder="1" applyAlignment="1">
      <alignment vertical="center" wrapText="1"/>
      <protection/>
    </xf>
    <xf numFmtId="49" fontId="3" fillId="0" borderId="14" xfId="279" applyNumberFormat="1" applyFont="1" applyFill="1" applyBorder="1" applyAlignment="1">
      <alignment horizontal="center" vertical="center" shrinkToFit="1"/>
      <protection/>
    </xf>
    <xf numFmtId="0" fontId="0" fillId="0" borderId="21" xfId="20" applyBorder="1" applyAlignment="1">
      <alignment vertical="center" wrapText="1"/>
      <protection/>
    </xf>
    <xf numFmtId="0" fontId="0" fillId="0" borderId="21" xfId="20" applyBorder="1" applyAlignment="1">
      <alignment horizontal="center" vertical="center"/>
      <protection/>
    </xf>
    <xf numFmtId="166" fontId="0" fillId="0" borderId="21" xfId="20" applyNumberFormat="1" applyFill="1" applyBorder="1" applyAlignment="1">
      <alignment horizontal="center" vertical="center"/>
      <protection/>
    </xf>
    <xf numFmtId="49" fontId="3" fillId="0" borderId="61" xfId="20" applyNumberFormat="1" applyFont="1" applyBorder="1" applyAlignment="1">
      <alignment horizontal="center" vertical="center"/>
      <protection/>
    </xf>
    <xf numFmtId="49" fontId="0" fillId="0" borderId="62" xfId="20" applyNumberFormat="1" applyBorder="1" applyAlignment="1">
      <alignment horizontal="center" vertical="center"/>
      <protection/>
    </xf>
    <xf numFmtId="0" fontId="30" fillId="0" borderId="62" xfId="20" applyFont="1" applyBorder="1" applyAlignment="1">
      <alignment vertical="center"/>
      <protection/>
    </xf>
    <xf numFmtId="0" fontId="0" fillId="0" borderId="62" xfId="20" applyBorder="1" applyAlignment="1">
      <alignment vertical="center"/>
      <protection/>
    </xf>
    <xf numFmtId="166" fontId="0" fillId="0" borderId="62" xfId="20" applyNumberFormat="1" applyBorder="1" applyAlignment="1">
      <alignment horizontal="right" vertical="center"/>
      <protection/>
    </xf>
    <xf numFmtId="4" fontId="0" fillId="0" borderId="62" xfId="20" applyNumberFormat="1" applyFont="1" applyBorder="1" applyAlignment="1">
      <alignment horizontal="center" vertical="center"/>
      <protection/>
    </xf>
    <xf numFmtId="4" fontId="30" fillId="27" borderId="38" xfId="20" applyNumberFormat="1" applyFont="1" applyFill="1" applyBorder="1" applyAlignment="1">
      <alignment horizontal="right" vertical="center" indent="1"/>
      <protection/>
    </xf>
    <xf numFmtId="49" fontId="3" fillId="30" borderId="61" xfId="20" applyNumberFormat="1" applyFont="1" applyFill="1" applyBorder="1" applyAlignment="1">
      <alignment horizontal="center" vertical="center"/>
      <protection/>
    </xf>
    <xf numFmtId="49" fontId="0" fillId="30" borderId="62" xfId="20" applyNumberFormat="1" applyFill="1" applyBorder="1" applyAlignment="1">
      <alignment horizontal="center" vertical="center"/>
      <protection/>
    </xf>
    <xf numFmtId="0" fontId="0" fillId="30" borderId="62" xfId="20" applyFill="1" applyBorder="1" applyAlignment="1">
      <alignment vertical="center"/>
      <protection/>
    </xf>
    <xf numFmtId="166" fontId="0" fillId="30" borderId="62" xfId="20" applyNumberFormat="1" applyFill="1" applyBorder="1" applyAlignment="1">
      <alignment horizontal="right" vertical="center"/>
      <protection/>
    </xf>
    <xf numFmtId="49" fontId="3" fillId="0" borderId="17" xfId="20" applyNumberFormat="1" applyFont="1" applyFill="1" applyBorder="1" applyAlignment="1">
      <alignment horizontal="center" vertical="center"/>
      <protection/>
    </xf>
    <xf numFmtId="49" fontId="0" fillId="0" borderId="18" xfId="20" applyNumberFormat="1" applyFill="1" applyBorder="1" applyAlignment="1">
      <alignment horizontal="center" vertical="center"/>
      <protection/>
    </xf>
    <xf numFmtId="0" fontId="0" fillId="0" borderId="18" xfId="20" applyFill="1" applyBorder="1" applyAlignment="1">
      <alignment vertical="center" wrapText="1"/>
      <protection/>
    </xf>
    <xf numFmtId="0" fontId="0" fillId="0" borderId="18" xfId="20" applyFill="1" applyBorder="1" applyAlignment="1">
      <alignment horizontal="center" vertical="center"/>
      <protection/>
    </xf>
    <xf numFmtId="4" fontId="0" fillId="0" borderId="18" xfId="20" applyNumberFormat="1" applyFont="1" applyFill="1" applyBorder="1" applyAlignment="1">
      <alignment horizontal="right" vertical="center" indent="1"/>
      <protection/>
    </xf>
    <xf numFmtId="4" fontId="0" fillId="0" borderId="19" xfId="20" applyNumberFormat="1" applyFill="1" applyBorder="1" applyAlignment="1">
      <alignment horizontal="right" vertical="center" indent="1"/>
      <protection/>
    </xf>
    <xf numFmtId="164" fontId="31" fillId="0" borderId="0" xfId="20" applyNumberFormat="1" applyFont="1" applyFill="1" applyBorder="1" applyAlignment="1">
      <alignment horizontal="right" vertical="center" indent="1"/>
      <protection/>
    </xf>
    <xf numFmtId="165" fontId="7" fillId="0" borderId="0" xfId="20" applyNumberFormat="1" applyFont="1" applyFill="1" applyAlignment="1">
      <alignment horizontal="right" vertical="center" indent="1"/>
      <protection/>
    </xf>
    <xf numFmtId="0" fontId="0" fillId="0" borderId="0" xfId="20" applyFill="1" applyAlignment="1">
      <alignment vertical="center"/>
      <protection/>
    </xf>
    <xf numFmtId="4" fontId="0" fillId="0" borderId="0" xfId="20" applyNumberFormat="1" applyFill="1" applyAlignment="1">
      <alignment vertical="center"/>
      <protection/>
    </xf>
    <xf numFmtId="49" fontId="2" fillId="0" borderId="12" xfId="279" applyNumberFormat="1" applyFont="1" applyFill="1" applyBorder="1" applyAlignment="1">
      <alignment horizontal="center" vertical="center"/>
      <protection/>
    </xf>
    <xf numFmtId="0" fontId="2" fillId="0" borderId="14" xfId="279" applyFont="1" applyFill="1" applyBorder="1" applyAlignment="1">
      <alignment vertical="center" wrapText="1"/>
      <protection/>
    </xf>
    <xf numFmtId="49" fontId="2" fillId="0" borderId="14" xfId="279" applyNumberFormat="1" applyFont="1" applyFill="1" applyBorder="1" applyAlignment="1">
      <alignment horizontal="center" vertical="center" shrinkToFit="1"/>
      <protection/>
    </xf>
    <xf numFmtId="165" fontId="44" fillId="0" borderId="0" xfId="279" applyNumberFormat="1" applyFont="1" applyFill="1" applyAlignment="1">
      <alignment horizontal="right" vertical="center" indent="1"/>
      <protection/>
    </xf>
    <xf numFmtId="0" fontId="35" fillId="0" borderId="0" xfId="279" applyFill="1" applyAlignment="1">
      <alignment vertical="center"/>
      <protection/>
    </xf>
    <xf numFmtId="4" fontId="35" fillId="0" borderId="0" xfId="279" applyNumberFormat="1" applyFill="1" applyAlignment="1">
      <alignment vertical="center"/>
      <protection/>
    </xf>
    <xf numFmtId="0" fontId="89" fillId="0" borderId="14" xfId="279" applyFont="1" applyFill="1" applyBorder="1" applyAlignment="1">
      <alignment vertical="center" wrapText="1"/>
      <protection/>
    </xf>
    <xf numFmtId="49" fontId="89" fillId="0" borderId="14" xfId="279" applyNumberFormat="1" applyFont="1" applyFill="1" applyBorder="1" applyAlignment="1">
      <alignment horizontal="center" vertical="center" shrinkToFit="1"/>
      <protection/>
    </xf>
    <xf numFmtId="0" fontId="36" fillId="0" borderId="14" xfId="279" applyFont="1" applyFill="1" applyBorder="1" applyAlignment="1">
      <alignment vertical="center" wrapText="1"/>
      <protection/>
    </xf>
    <xf numFmtId="165" fontId="43" fillId="0" borderId="0" xfId="279" applyNumberFormat="1" applyFont="1" applyFill="1" applyAlignment="1">
      <alignment horizontal="right" vertical="center" indent="1"/>
      <protection/>
    </xf>
    <xf numFmtId="0" fontId="2" fillId="0" borderId="0" xfId="279" applyFont="1" applyFill="1" applyAlignment="1">
      <alignment vertical="center"/>
      <protection/>
    </xf>
    <xf numFmtId="4" fontId="2" fillId="0" borderId="0" xfId="279" applyNumberFormat="1" applyFont="1" applyFill="1" applyAlignment="1">
      <alignment vertical="center"/>
      <protection/>
    </xf>
    <xf numFmtId="49" fontId="3" fillId="0" borderId="20" xfId="20" applyNumberFormat="1" applyFont="1" applyFill="1" applyBorder="1" applyAlignment="1">
      <alignment horizontal="center" vertical="center"/>
      <protection/>
    </xf>
    <xf numFmtId="49" fontId="0" fillId="0" borderId="21" xfId="20" applyNumberFormat="1" applyFill="1" applyBorder="1" applyAlignment="1">
      <alignment horizontal="center" vertical="center"/>
      <protection/>
    </xf>
    <xf numFmtId="0" fontId="0" fillId="0" borderId="21" xfId="20" applyFill="1" applyBorder="1" applyAlignment="1">
      <alignment vertical="center" wrapText="1"/>
      <protection/>
    </xf>
    <xf numFmtId="0" fontId="0" fillId="0" borderId="21" xfId="20" applyFill="1" applyBorder="1" applyAlignment="1">
      <alignment horizontal="center" vertical="center"/>
      <protection/>
    </xf>
    <xf numFmtId="4" fontId="0" fillId="0" borderId="22" xfId="20" applyNumberFormat="1" applyFill="1" applyBorder="1" applyAlignment="1">
      <alignment horizontal="right" vertical="center" indent="1"/>
      <protection/>
    </xf>
    <xf numFmtId="4" fontId="0" fillId="0" borderId="62" xfId="20" applyNumberFormat="1" applyFont="1" applyBorder="1" applyAlignment="1">
      <alignment horizontal="right" vertical="center" indent="1"/>
      <protection/>
    </xf>
    <xf numFmtId="0" fontId="0" fillId="30" borderId="62" xfId="20" applyFill="1" applyBorder="1" applyAlignment="1">
      <alignment horizontal="center" vertical="center"/>
      <protection/>
    </xf>
    <xf numFmtId="4" fontId="0" fillId="30" borderId="62" xfId="20" applyNumberFormat="1" applyFont="1" applyFill="1" applyBorder="1" applyAlignment="1">
      <alignment horizontal="right" vertical="center" indent="1"/>
      <protection/>
    </xf>
    <xf numFmtId="4" fontId="0" fillId="0" borderId="62" xfId="20" applyNumberFormat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 indent="1"/>
      <protection/>
    </xf>
    <xf numFmtId="164" fontId="34" fillId="0" borderId="0" xfId="20" applyNumberFormat="1" applyFont="1" applyFill="1" applyBorder="1" applyAlignment="1">
      <alignment horizontal="right" vertical="center" indent="1"/>
      <protection/>
    </xf>
    <xf numFmtId="4" fontId="0" fillId="30" borderId="62" xfId="20" applyNumberFormat="1" applyFill="1" applyBorder="1" applyAlignment="1">
      <alignment horizontal="right" vertical="center"/>
      <protection/>
    </xf>
    <xf numFmtId="49" fontId="89" fillId="0" borderId="12" xfId="25" applyNumberFormat="1" applyFont="1" applyFill="1" applyBorder="1" applyAlignment="1">
      <alignment horizontal="center" vertical="center"/>
      <protection/>
    </xf>
    <xf numFmtId="49" fontId="89" fillId="0" borderId="14" xfId="25" applyNumberFormat="1" applyFont="1" applyFill="1" applyBorder="1" applyAlignment="1">
      <alignment horizontal="center" vertical="center"/>
      <protection/>
    </xf>
    <xf numFmtId="0" fontId="89" fillId="0" borderId="14" xfId="25" applyFont="1" applyFill="1" applyBorder="1" applyAlignment="1">
      <alignment vertical="center" wrapText="1"/>
      <protection/>
    </xf>
    <xf numFmtId="0" fontId="0" fillId="0" borderId="0" xfId="20" applyFill="1">
      <alignment/>
      <protection/>
    </xf>
    <xf numFmtId="4" fontId="0" fillId="0" borderId="18" xfId="20" applyNumberFormat="1" applyBorder="1" applyAlignment="1">
      <alignment horizontal="right" vertical="center"/>
      <protection/>
    </xf>
    <xf numFmtId="4" fontId="30" fillId="0" borderId="56" xfId="20" applyNumberFormat="1" applyFont="1" applyFill="1" applyBorder="1" applyAlignment="1">
      <alignment horizontal="right" vertical="center" indent="1"/>
      <protection/>
    </xf>
    <xf numFmtId="165" fontId="89" fillId="0" borderId="0" xfId="279" applyNumberFormat="1" applyFont="1" applyFill="1" applyAlignment="1">
      <alignment horizontal="right" vertical="center" indent="1"/>
      <protection/>
    </xf>
    <xf numFmtId="0" fontId="89" fillId="0" borderId="0" xfId="279" applyFont="1" applyFill="1" applyAlignment="1">
      <alignment vertical="center"/>
      <protection/>
    </xf>
    <xf numFmtId="4" fontId="89" fillId="0" borderId="0" xfId="279" applyNumberFormat="1" applyFont="1" applyFill="1" applyAlignment="1">
      <alignment vertical="center"/>
      <protection/>
    </xf>
    <xf numFmtId="49" fontId="0" fillId="0" borderId="60" xfId="20" applyNumberFormat="1" applyFill="1" applyBorder="1" applyAlignment="1">
      <alignment horizontal="center" vertical="center"/>
      <protection/>
    </xf>
    <xf numFmtId="4" fontId="0" fillId="0" borderId="21" xfId="20" applyNumberFormat="1" applyFill="1" applyBorder="1" applyAlignment="1">
      <alignment horizontal="right" vertical="center"/>
      <protection/>
    </xf>
    <xf numFmtId="4" fontId="0" fillId="0" borderId="21" xfId="20" applyNumberFormat="1" applyFont="1" applyFill="1" applyBorder="1" applyAlignment="1">
      <alignment horizontal="center" vertical="center"/>
      <protection/>
    </xf>
    <xf numFmtId="49" fontId="53" fillId="0" borderId="61" xfId="20" applyNumberFormat="1" applyFont="1" applyBorder="1" applyAlignment="1">
      <alignment horizontal="center" vertical="center"/>
      <protection/>
    </xf>
    <xf numFmtId="49" fontId="51" fillId="0" borderId="62" xfId="20" applyNumberFormat="1" applyFont="1" applyBorder="1" applyAlignment="1">
      <alignment horizontal="center" vertical="center"/>
      <protection/>
    </xf>
    <xf numFmtId="0" fontId="51" fillId="0" borderId="62" xfId="20" applyFont="1" applyBorder="1" applyAlignment="1">
      <alignment vertical="center"/>
      <protection/>
    </xf>
    <xf numFmtId="4" fontId="51" fillId="0" borderId="62" xfId="20" applyNumberFormat="1" applyFont="1" applyBorder="1" applyAlignment="1">
      <alignment horizontal="right" vertical="center"/>
      <protection/>
    </xf>
    <xf numFmtId="0" fontId="51" fillId="0" borderId="0" xfId="20" applyFont="1" applyAlignment="1">
      <alignment vertical="center"/>
      <protection/>
    </xf>
    <xf numFmtId="4" fontId="30" fillId="0" borderId="0" xfId="20" applyNumberFormat="1" applyFont="1" applyAlignment="1">
      <alignment vertical="center"/>
      <protection/>
    </xf>
    <xf numFmtId="49" fontId="0" fillId="0" borderId="18" xfId="20" applyNumberFormat="1" applyBorder="1" applyAlignment="1">
      <alignment horizontal="center" vertical="center"/>
      <protection/>
    </xf>
    <xf numFmtId="4" fontId="30" fillId="0" borderId="19" xfId="20" applyNumberFormat="1" applyFont="1" applyFill="1" applyBorder="1" applyAlignment="1">
      <alignment horizontal="right" vertical="center" indent="1"/>
      <protection/>
    </xf>
    <xf numFmtId="49" fontId="3" fillId="0" borderId="12" xfId="279" applyNumberFormat="1" applyFont="1" applyFill="1" applyBorder="1" applyAlignment="1">
      <alignment horizontal="center" vertical="center"/>
      <protection/>
    </xf>
    <xf numFmtId="0" fontId="2" fillId="0" borderId="0" xfId="279" applyFont="1" applyFill="1">
      <alignment/>
      <protection/>
    </xf>
    <xf numFmtId="4" fontId="2" fillId="0" borderId="0" xfId="279" applyNumberFormat="1" applyFont="1" applyFill="1">
      <alignment/>
      <protection/>
    </xf>
    <xf numFmtId="49" fontId="50" fillId="0" borderId="12" xfId="279" applyNumberFormat="1" applyFont="1" applyFill="1" applyBorder="1" applyAlignment="1">
      <alignment horizontal="center" vertical="center"/>
      <protection/>
    </xf>
    <xf numFmtId="0" fontId="36" fillId="0" borderId="36" xfId="279" applyFont="1" applyFill="1" applyBorder="1" applyAlignment="1">
      <alignment horizontal="left" vertical="center" wrapText="1"/>
      <protection/>
    </xf>
    <xf numFmtId="164" fontId="44" fillId="0" borderId="0" xfId="279" applyNumberFormat="1" applyFont="1" applyFill="1" applyAlignment="1">
      <alignment horizontal="right" vertical="center" indent="1"/>
      <protection/>
    </xf>
    <xf numFmtId="49" fontId="3" fillId="0" borderId="14" xfId="279" applyNumberFormat="1" applyFont="1" applyFill="1" applyBorder="1" applyAlignment="1">
      <alignment horizontal="center" vertical="center"/>
      <protection/>
    </xf>
    <xf numFmtId="4" fontId="3" fillId="0" borderId="14" xfId="279" applyNumberFormat="1" applyFont="1" applyFill="1" applyBorder="1" applyAlignment="1">
      <alignment horizontal="right" vertical="center" indent="1"/>
      <protection/>
    </xf>
    <xf numFmtId="164" fontId="16" fillId="0" borderId="0" xfId="279" applyNumberFormat="1" applyFont="1" applyFill="1" applyBorder="1" applyAlignment="1">
      <alignment horizontal="right" vertical="center" indent="1"/>
      <protection/>
    </xf>
    <xf numFmtId="165" fontId="7" fillId="0" borderId="0" xfId="279" applyNumberFormat="1" applyFont="1" applyFill="1" applyAlignment="1">
      <alignment horizontal="right" vertical="center" indent="1"/>
      <protection/>
    </xf>
    <xf numFmtId="0" fontId="0" fillId="0" borderId="0" xfId="279" applyFont="1" applyFill="1" applyAlignment="1">
      <alignment vertical="center"/>
      <protection/>
    </xf>
    <xf numFmtId="4" fontId="0" fillId="0" borderId="0" xfId="279" applyNumberFormat="1" applyFont="1" applyFill="1" applyAlignment="1">
      <alignment vertical="center"/>
      <protection/>
    </xf>
    <xf numFmtId="49" fontId="20" fillId="0" borderId="17" xfId="20" applyNumberFormat="1" applyFont="1" applyBorder="1" applyAlignment="1">
      <alignment horizontal="center" vertical="center"/>
      <protection/>
    </xf>
    <xf numFmtId="0" fontId="33" fillId="0" borderId="63" xfId="20" applyFont="1" applyBorder="1" applyAlignment="1">
      <alignment horizontal="center" vertical="center"/>
      <protection/>
    </xf>
    <xf numFmtId="0" fontId="33" fillId="0" borderId="18" xfId="20" applyFont="1" applyBorder="1" applyAlignment="1">
      <alignment vertical="center"/>
      <protection/>
    </xf>
    <xf numFmtId="0" fontId="0" fillId="0" borderId="18" xfId="20" applyBorder="1" applyAlignment="1">
      <alignment vertical="center"/>
      <protection/>
    </xf>
    <xf numFmtId="4" fontId="0" fillId="0" borderId="18" xfId="20" applyNumberFormat="1" applyBorder="1" applyAlignment="1">
      <alignment horizontal="right" vertical="center" indent="1"/>
      <protection/>
    </xf>
    <xf numFmtId="0" fontId="3" fillId="0" borderId="14" xfId="20" applyFont="1" applyFill="1" applyBorder="1" applyAlignment="1">
      <alignment vertical="center" wrapText="1"/>
      <protection/>
    </xf>
    <xf numFmtId="0" fontId="3" fillId="0" borderId="14" xfId="20" applyFont="1" applyFill="1" applyBorder="1" applyAlignment="1">
      <alignment horizontal="center" vertical="center" wrapText="1"/>
      <protection/>
    </xf>
    <xf numFmtId="4" fontId="3" fillId="0" borderId="14" xfId="20" applyNumberFormat="1" applyFont="1" applyFill="1" applyBorder="1" applyAlignment="1">
      <alignment horizontal="right" vertical="center" wrapText="1" indent="1"/>
      <protection/>
    </xf>
    <xf numFmtId="164" fontId="16" fillId="0" borderId="0" xfId="20" applyNumberFormat="1" applyFont="1" applyFill="1" applyAlignment="1">
      <alignment horizontal="right" vertical="center" indent="1"/>
      <protection/>
    </xf>
    <xf numFmtId="0" fontId="50" fillId="0" borderId="14" xfId="20" applyFont="1" applyFill="1" applyBorder="1" applyAlignment="1">
      <alignment vertical="center" wrapText="1"/>
      <protection/>
    </xf>
    <xf numFmtId="4" fontId="50" fillId="0" borderId="14" xfId="20" applyNumberFormat="1" applyFont="1" applyFill="1" applyBorder="1" applyAlignment="1">
      <alignment horizontal="right" vertical="center" wrapText="1" indent="1"/>
      <protection/>
    </xf>
    <xf numFmtId="0" fontId="50" fillId="0" borderId="14" xfId="20" applyFont="1" applyFill="1" applyBorder="1" applyAlignment="1">
      <alignment horizontal="center" vertical="center" wrapText="1"/>
      <protection/>
    </xf>
    <xf numFmtId="4" fontId="50" fillId="0" borderId="15" xfId="22" applyNumberFormat="1" applyFont="1" applyFill="1" applyBorder="1" applyAlignment="1">
      <alignment horizontal="right" vertical="center" indent="1"/>
      <protection/>
    </xf>
    <xf numFmtId="164" fontId="50" fillId="0" borderId="0" xfId="20" applyNumberFormat="1" applyFont="1" applyFill="1" applyAlignment="1">
      <alignment horizontal="right" vertical="center" indent="1"/>
      <protection/>
    </xf>
    <xf numFmtId="165" fontId="91" fillId="0" borderId="0" xfId="20" applyNumberFormat="1" applyFont="1" applyFill="1" applyAlignment="1">
      <alignment horizontal="right" vertical="center" indent="1"/>
      <protection/>
    </xf>
    <xf numFmtId="0" fontId="91" fillId="0" borderId="0" xfId="20" applyFont="1" applyFill="1" applyAlignment="1">
      <alignment vertical="center"/>
      <protection/>
    </xf>
    <xf numFmtId="4" fontId="91" fillId="0" borderId="0" xfId="20" applyNumberFormat="1" applyFont="1" applyFill="1" applyAlignment="1">
      <alignment vertical="center"/>
      <protection/>
    </xf>
    <xf numFmtId="0" fontId="0" fillId="0" borderId="60" xfId="20" applyFill="1" applyBorder="1" applyAlignment="1">
      <alignment horizontal="center" vertical="center"/>
      <protection/>
    </xf>
    <xf numFmtId="4" fontId="0" fillId="0" borderId="21" xfId="20" applyNumberFormat="1" applyFill="1" applyBorder="1" applyAlignment="1">
      <alignment horizontal="right" vertical="center" indent="1"/>
      <protection/>
    </xf>
    <xf numFmtId="49" fontId="3" fillId="0" borderId="61" xfId="20" applyNumberFormat="1" applyFont="1" applyBorder="1" applyAlignment="1">
      <alignment vertical="center"/>
      <protection/>
    </xf>
    <xf numFmtId="0" fontId="0" fillId="0" borderId="62" xfId="20" applyBorder="1" applyAlignment="1">
      <alignment horizontal="center" vertical="center"/>
      <protection/>
    </xf>
    <xf numFmtId="4" fontId="0" fillId="0" borderId="62" xfId="20" applyNumberFormat="1" applyBorder="1" applyAlignment="1">
      <alignment horizontal="right" vertical="center" indent="1"/>
      <protection/>
    </xf>
    <xf numFmtId="49" fontId="3" fillId="30" borderId="61" xfId="20" applyNumberFormat="1" applyFont="1" applyFill="1" applyBorder="1" applyAlignment="1">
      <alignment vertical="center"/>
      <protection/>
    </xf>
    <xf numFmtId="4" fontId="0" fillId="30" borderId="62" xfId="20" applyNumberFormat="1" applyFill="1" applyBorder="1" applyAlignment="1">
      <alignment horizontal="right" vertical="center" indent="1"/>
      <protection/>
    </xf>
    <xf numFmtId="0" fontId="0" fillId="0" borderId="60" xfId="20" applyBorder="1" applyAlignment="1">
      <alignment horizontal="center" vertical="center"/>
      <protection/>
    </xf>
    <xf numFmtId="4" fontId="0" fillId="0" borderId="21" xfId="20" applyNumberFormat="1" applyBorder="1" applyAlignment="1">
      <alignment horizontal="right" vertical="center" indent="1"/>
      <protection/>
    </xf>
    <xf numFmtId="49" fontId="50" fillId="0" borderId="13" xfId="25" applyNumberFormat="1" applyFont="1" applyFill="1" applyBorder="1" applyAlignment="1">
      <alignment horizontal="center" vertical="center"/>
      <protection/>
    </xf>
    <xf numFmtId="164" fontId="50" fillId="0" borderId="0" xfId="25" applyNumberFormat="1" applyFont="1" applyFill="1" applyBorder="1" applyAlignment="1">
      <alignment horizontal="right" vertical="center" indent="1"/>
      <protection/>
    </xf>
    <xf numFmtId="165" fontId="50" fillId="0" borderId="0" xfId="25" applyNumberFormat="1" applyFont="1" applyFill="1" applyAlignment="1">
      <alignment horizontal="right" vertical="center" indent="1"/>
      <protection/>
    </xf>
    <xf numFmtId="4" fontId="3" fillId="0" borderId="14" xfId="20" applyNumberFormat="1" applyFont="1" applyFill="1" applyBorder="1" applyAlignment="1">
      <alignment horizontal="right" vertical="center" indent="1"/>
      <protection/>
    </xf>
    <xf numFmtId="4" fontId="50" fillId="0" borderId="14" xfId="20" applyNumberFormat="1" applyFont="1" applyFill="1" applyBorder="1" applyAlignment="1">
      <alignment horizontal="right" vertical="center" indent="1"/>
      <protection/>
    </xf>
    <xf numFmtId="4" fontId="0" fillId="0" borderId="64" xfId="20" applyNumberFormat="1" applyBorder="1" applyAlignment="1">
      <alignment horizontal="right" vertical="center" indent="1"/>
      <protection/>
    </xf>
    <xf numFmtId="4" fontId="0" fillId="0" borderId="64" xfId="20" applyNumberFormat="1" applyFont="1" applyBorder="1" applyAlignment="1">
      <alignment horizontal="center" vertical="center"/>
      <protection/>
    </xf>
    <xf numFmtId="4" fontId="0" fillId="0" borderId="65" xfId="20" applyNumberFormat="1" applyBorder="1" applyAlignment="1">
      <alignment horizontal="right" vertical="center" indent="1"/>
      <protection/>
    </xf>
    <xf numFmtId="0" fontId="3" fillId="0" borderId="55" xfId="20" applyFont="1" applyFill="1" applyBorder="1" applyAlignment="1">
      <alignment horizontal="center" vertical="center"/>
      <protection/>
    </xf>
    <xf numFmtId="0" fontId="3" fillId="0" borderId="66" xfId="20" applyFont="1" applyFill="1" applyBorder="1" applyAlignment="1">
      <alignment vertical="center" wrapText="1"/>
      <protection/>
    </xf>
    <xf numFmtId="49" fontId="2" fillId="0" borderId="66" xfId="279" applyNumberFormat="1" applyFont="1" applyFill="1" applyBorder="1" applyAlignment="1">
      <alignment horizontal="center" vertical="center" shrinkToFit="1"/>
      <protection/>
    </xf>
    <xf numFmtId="4" fontId="3" fillId="0" borderId="67" xfId="20" applyNumberFormat="1" applyFont="1" applyFill="1" applyBorder="1" applyAlignment="1">
      <alignment horizontal="right" vertical="center" indent="1"/>
      <protection/>
    </xf>
    <xf numFmtId="4" fontId="2" fillId="0" borderId="67" xfId="279" applyNumberFormat="1" applyFont="1" applyFill="1" applyBorder="1" applyAlignment="1">
      <alignment horizontal="right" vertical="center" indent="1"/>
      <protection/>
    </xf>
    <xf numFmtId="0" fontId="50" fillId="0" borderId="55" xfId="20" applyFont="1" applyFill="1" applyBorder="1" applyAlignment="1">
      <alignment horizontal="center" vertical="center"/>
      <protection/>
    </xf>
    <xf numFmtId="0" fontId="50" fillId="0" borderId="66" xfId="20" applyFont="1" applyFill="1" applyBorder="1" applyAlignment="1">
      <alignment vertical="center" wrapText="1"/>
      <protection/>
    </xf>
    <xf numFmtId="4" fontId="89" fillId="0" borderId="67" xfId="279" applyNumberFormat="1" applyFont="1" applyFill="1" applyBorder="1" applyAlignment="1">
      <alignment horizontal="right" vertical="center" indent="1"/>
      <protection/>
    </xf>
    <xf numFmtId="164" fontId="91" fillId="0" borderId="0" xfId="20" applyNumberFormat="1" applyFont="1" applyFill="1" applyBorder="1" applyAlignment="1">
      <alignment horizontal="right" vertical="center" indent="1"/>
      <protection/>
    </xf>
    <xf numFmtId="4" fontId="0" fillId="0" borderId="15" xfId="20" applyNumberFormat="1" applyBorder="1" applyAlignment="1">
      <alignment horizontal="right" vertical="center" indent="1"/>
      <protection/>
    </xf>
    <xf numFmtId="49" fontId="3" fillId="0" borderId="16" xfId="20" applyNumberFormat="1" applyFont="1" applyFill="1" applyBorder="1" applyAlignment="1">
      <alignment vertical="center" wrapText="1"/>
      <protection/>
    </xf>
    <xf numFmtId="169" fontId="93" fillId="0" borderId="0" xfId="20" applyNumberFormat="1" applyFont="1" applyAlignment="1">
      <alignment vertical="center"/>
      <protection/>
    </xf>
    <xf numFmtId="169" fontId="3" fillId="0" borderId="0" xfId="20" applyNumberFormat="1" applyFont="1" applyAlignment="1">
      <alignment vertical="center"/>
      <protection/>
    </xf>
    <xf numFmtId="3" fontId="94" fillId="0" borderId="0" xfId="20" applyNumberFormat="1" applyFont="1" applyBorder="1" applyAlignment="1">
      <alignment vertical="center"/>
      <protection/>
    </xf>
    <xf numFmtId="169" fontId="93" fillId="0" borderId="0" xfId="20" applyNumberFormat="1" applyFont="1" applyFill="1" applyAlignment="1">
      <alignment vertical="center"/>
      <protection/>
    </xf>
    <xf numFmtId="169" fontId="3" fillId="0" borderId="0" xfId="20" applyNumberFormat="1" applyFont="1" applyFill="1" applyAlignment="1">
      <alignment vertical="center"/>
      <protection/>
    </xf>
    <xf numFmtId="0" fontId="3" fillId="0" borderId="14" xfId="20" applyFont="1" applyFill="1" applyBorder="1" applyAlignment="1">
      <alignment horizontal="center" vertical="center"/>
      <protection/>
    </xf>
    <xf numFmtId="49" fontId="57" fillId="23" borderId="62" xfId="20" applyNumberFormat="1" applyFont="1" applyFill="1" applyBorder="1" applyAlignment="1">
      <alignment horizontal="center" vertical="center"/>
      <protection/>
    </xf>
    <xf numFmtId="0" fontId="57" fillId="23" borderId="62" xfId="20" applyFont="1" applyFill="1" applyBorder="1" applyAlignment="1">
      <alignment vertical="center"/>
      <protection/>
    </xf>
    <xf numFmtId="166" fontId="57" fillId="23" borderId="62" xfId="20" applyNumberFormat="1" applyFont="1" applyFill="1" applyBorder="1" applyAlignment="1">
      <alignment horizontal="right" vertical="center" indent="1"/>
      <protection/>
    </xf>
    <xf numFmtId="4" fontId="58" fillId="23" borderId="62" xfId="20" applyNumberFormat="1" applyFont="1" applyFill="1" applyBorder="1" applyAlignment="1">
      <alignment horizontal="center" vertical="center"/>
      <protection/>
    </xf>
    <xf numFmtId="4" fontId="57" fillId="23" borderId="38" xfId="20" applyNumberFormat="1" applyFont="1" applyFill="1" applyBorder="1" applyAlignment="1">
      <alignment horizontal="right" vertical="center" indent="1"/>
      <protection/>
    </xf>
    <xf numFmtId="164" fontId="59" fillId="0" borderId="0" xfId="20" applyNumberFormat="1" applyFont="1" applyBorder="1" applyAlignment="1">
      <alignment horizontal="right" vertical="center" indent="1"/>
      <protection/>
    </xf>
    <xf numFmtId="165" fontId="59" fillId="0" borderId="0" xfId="20" applyNumberFormat="1" applyFont="1" applyAlignment="1">
      <alignment horizontal="right" vertical="center" indent="1"/>
      <protection/>
    </xf>
    <xf numFmtId="0" fontId="58" fillId="0" borderId="0" xfId="20" applyFont="1" applyAlignment="1">
      <alignment vertical="center"/>
      <protection/>
    </xf>
    <xf numFmtId="4" fontId="58" fillId="0" borderId="0" xfId="20" applyNumberFormat="1" applyFont="1" applyAlignment="1">
      <alignment vertical="center"/>
      <protection/>
    </xf>
    <xf numFmtId="49" fontId="3" fillId="0" borderId="0" xfId="20" applyNumberFormat="1" applyFont="1" applyAlignment="1">
      <alignment horizontal="center"/>
      <protection/>
    </xf>
    <xf numFmtId="49" fontId="0" fillId="0" borderId="0" xfId="20" applyNumberFormat="1" applyAlignment="1">
      <alignment horizontal="center"/>
      <protection/>
    </xf>
    <xf numFmtId="166" fontId="0" fillId="0" borderId="0" xfId="20" applyNumberFormat="1" applyAlignment="1">
      <alignment horizontal="right" vertical="center" indent="1"/>
      <protection/>
    </xf>
    <xf numFmtId="4" fontId="0" fillId="0" borderId="0" xfId="20" applyNumberFormat="1" applyFont="1" applyAlignment="1">
      <alignment horizontal="center" vertical="center"/>
      <protection/>
    </xf>
    <xf numFmtId="166" fontId="0" fillId="0" borderId="0" xfId="20" applyNumberFormat="1">
      <alignment/>
      <protection/>
    </xf>
    <xf numFmtId="4" fontId="0" fillId="0" borderId="56" xfId="20" applyNumberFormat="1" applyBorder="1" applyAlignment="1">
      <alignment horizontal="right" vertical="center" indent="1"/>
      <protection/>
    </xf>
    <xf numFmtId="49" fontId="3" fillId="0" borderId="54" xfId="20" applyNumberFormat="1" applyFont="1" applyFill="1" applyBorder="1" applyAlignment="1">
      <alignment horizontal="center" vertical="center"/>
      <protection/>
    </xf>
    <xf numFmtId="0" fontId="3" fillId="0" borderId="14" xfId="28" applyFont="1" applyFill="1" applyBorder="1" applyAlignment="1" applyProtection="1">
      <alignment horizontal="left" vertical="center" wrapText="1"/>
      <protection/>
    </xf>
    <xf numFmtId="49" fontId="2" fillId="0" borderId="14" xfId="278" applyNumberFormat="1" applyFont="1" applyFill="1" applyBorder="1" applyAlignment="1">
      <alignment horizontal="center" vertical="center"/>
      <protection/>
    </xf>
    <xf numFmtId="4" fontId="3" fillId="0" borderId="56" xfId="20" applyNumberFormat="1" applyFont="1" applyBorder="1" applyAlignment="1">
      <alignment horizontal="right" vertical="center" indent="1"/>
      <protection/>
    </xf>
    <xf numFmtId="49" fontId="37" fillId="0" borderId="13" xfId="279" applyNumberFormat="1" applyFont="1" applyFill="1" applyBorder="1" applyAlignment="1">
      <alignment horizontal="center" vertical="center"/>
      <protection/>
    </xf>
    <xf numFmtId="4" fontId="37" fillId="0" borderId="14" xfId="279" applyNumberFormat="1" applyFont="1" applyFill="1" applyBorder="1" applyAlignment="1">
      <alignment horizontal="center" vertical="center"/>
      <protection/>
    </xf>
    <xf numFmtId="4" fontId="37" fillId="0" borderId="14" xfId="279" applyNumberFormat="1" applyFont="1" applyFill="1" applyBorder="1" applyAlignment="1">
      <alignment horizontal="right" vertical="center" indent="1"/>
      <protection/>
    </xf>
    <xf numFmtId="164" fontId="95" fillId="0" borderId="0" xfId="279" applyNumberFormat="1" applyFont="1" applyFill="1" applyBorder="1" applyAlignment="1">
      <alignment horizontal="right" vertical="center" indent="1"/>
      <protection/>
    </xf>
    <xf numFmtId="0" fontId="37" fillId="0" borderId="0" xfId="279" applyFont="1" applyFill="1" applyBorder="1" applyAlignment="1">
      <alignment vertical="center"/>
      <protection/>
    </xf>
    <xf numFmtId="0" fontId="37" fillId="0" borderId="0" xfId="279" applyFont="1" applyFill="1" applyAlignment="1">
      <alignment vertical="center"/>
      <protection/>
    </xf>
    <xf numFmtId="0" fontId="3" fillId="0" borderId="16" xfId="20" applyFont="1" applyFill="1" applyBorder="1" applyAlignment="1">
      <alignment vertical="center" wrapText="1"/>
      <protection/>
    </xf>
    <xf numFmtId="4" fontId="3" fillId="0" borderId="56" xfId="20" applyNumberFormat="1" applyFont="1" applyFill="1" applyBorder="1" applyAlignment="1">
      <alignment horizontal="right" vertical="center" indent="1"/>
      <protection/>
    </xf>
    <xf numFmtId="164" fontId="2" fillId="0" borderId="0" xfId="279" applyNumberFormat="1" applyFont="1" applyFill="1" applyBorder="1" applyAlignment="1">
      <alignment horizontal="right" vertical="center" indent="1"/>
      <protection/>
    </xf>
    <xf numFmtId="165" fontId="2" fillId="0" borderId="0" xfId="279" applyNumberFormat="1" applyFont="1" applyFill="1" applyAlignment="1">
      <alignment horizontal="right" vertical="center" indent="1"/>
      <protection/>
    </xf>
    <xf numFmtId="4" fontId="2" fillId="0" borderId="14" xfId="279" applyNumberFormat="1" applyFont="1" applyFill="1" applyBorder="1" applyAlignment="1">
      <alignment horizontal="center" vertical="center"/>
      <protection/>
    </xf>
    <xf numFmtId="49" fontId="20" fillId="0" borderId="12" xfId="279" applyNumberFormat="1" applyFont="1" applyFill="1" applyBorder="1" applyAlignment="1">
      <alignment horizontal="center" vertical="center"/>
      <protection/>
    </xf>
    <xf numFmtId="49" fontId="20" fillId="0" borderId="14" xfId="279" applyNumberFormat="1" applyFont="1" applyFill="1" applyBorder="1" applyAlignment="1">
      <alignment horizontal="center" vertical="center"/>
      <protection/>
    </xf>
    <xf numFmtId="4" fontId="20" fillId="0" borderId="15" xfId="20" applyNumberFormat="1" applyFont="1" applyFill="1" applyBorder="1" applyAlignment="1">
      <alignment horizontal="right" vertical="center" wrapText="1" indent="1"/>
      <protection/>
    </xf>
    <xf numFmtId="164" fontId="90" fillId="0" borderId="0" xfId="279" applyNumberFormat="1" applyFont="1" applyFill="1" applyAlignment="1">
      <alignment horizontal="right" vertical="center" indent="1"/>
      <protection/>
    </xf>
    <xf numFmtId="165" fontId="50" fillId="0" borderId="0" xfId="25" applyNumberFormat="1" applyFont="1" applyFill="1" applyBorder="1" applyAlignment="1">
      <alignment horizontal="right" vertical="center" indent="1"/>
      <protection/>
    </xf>
    <xf numFmtId="165" fontId="91" fillId="0" borderId="0" xfId="25" applyNumberFormat="1" applyFont="1" applyFill="1" applyAlignment="1">
      <alignment horizontal="right" vertical="center" indent="1"/>
      <protection/>
    </xf>
    <xf numFmtId="0" fontId="91" fillId="0" borderId="0" xfId="25" applyFont="1" applyFill="1">
      <alignment/>
      <protection/>
    </xf>
    <xf numFmtId="4" fontId="91" fillId="0" borderId="0" xfId="25" applyNumberFormat="1" applyFont="1" applyFill="1">
      <alignment/>
      <protection/>
    </xf>
    <xf numFmtId="0" fontId="91" fillId="0" borderId="0" xfId="32" applyFont="1" applyFill="1" applyAlignment="1">
      <alignment vertical="center"/>
      <protection/>
    </xf>
    <xf numFmtId="49" fontId="3" fillId="0" borderId="55" xfId="25" applyNumberFormat="1" applyFont="1" applyFill="1" applyBorder="1" applyAlignment="1">
      <alignment horizontal="center" vertical="center"/>
      <protection/>
    </xf>
    <xf numFmtId="4" fontId="3" fillId="0" borderId="36" xfId="0" applyNumberFormat="1" applyFont="1" applyFill="1" applyBorder="1" applyAlignment="1">
      <alignment horizontal="right" vertical="center" indent="1"/>
    </xf>
    <xf numFmtId="4" fontId="3" fillId="0" borderId="36" xfId="25" applyNumberFormat="1" applyFont="1" applyFill="1" applyBorder="1" applyAlignment="1">
      <alignment horizontal="right" vertical="center" indent="1"/>
      <protection/>
    </xf>
    <xf numFmtId="4" fontId="50" fillId="0" borderId="68" xfId="20" applyNumberFormat="1" applyFont="1" applyFill="1" applyBorder="1" applyAlignment="1">
      <alignment horizontal="right" vertical="center" indent="1"/>
      <protection/>
    </xf>
    <xf numFmtId="49" fontId="89" fillId="0" borderId="68" xfId="279" applyNumberFormat="1" applyFont="1" applyFill="1" applyBorder="1" applyAlignment="1">
      <alignment horizontal="center" vertical="center" shrinkToFit="1"/>
      <protection/>
    </xf>
    <xf numFmtId="49" fontId="2" fillId="0" borderId="43" xfId="0" applyNumberFormat="1" applyFont="1" applyFill="1" applyBorder="1" applyAlignment="1">
      <alignment vertical="center"/>
    </xf>
    <xf numFmtId="49" fontId="2" fillId="0" borderId="44" xfId="0" applyNumberFormat="1" applyFont="1" applyFill="1" applyBorder="1" applyAlignment="1">
      <alignment horizontal="center" vertical="center"/>
    </xf>
    <xf numFmtId="49" fontId="3" fillId="0" borderId="44" xfId="0" applyNumberFormat="1" applyFont="1" applyFill="1" applyBorder="1" applyAlignment="1">
      <alignment vertical="center" wrapText="1"/>
    </xf>
    <xf numFmtId="49" fontId="4" fillId="0" borderId="44" xfId="0" applyNumberFormat="1" applyFont="1" applyFill="1" applyBorder="1" applyAlignment="1">
      <alignment vertical="center"/>
    </xf>
    <xf numFmtId="49" fontId="2" fillId="0" borderId="44" xfId="0" applyNumberFormat="1" applyFont="1" applyFill="1" applyBorder="1" applyAlignment="1">
      <alignment horizontal="center" vertical="center" wrapText="1"/>
    </xf>
    <xf numFmtId="49" fontId="5" fillId="0" borderId="45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right" vertical="center" indent="1"/>
    </xf>
    <xf numFmtId="49" fontId="2" fillId="0" borderId="46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top"/>
    </xf>
    <xf numFmtId="4" fontId="8" fillId="0" borderId="0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vertical="center" wrapText="1"/>
    </xf>
    <xf numFmtId="4" fontId="0" fillId="0" borderId="0" xfId="0" applyNumberFormat="1" applyFill="1"/>
    <xf numFmtId="49" fontId="11" fillId="0" borderId="0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right" vertical="center" indent="1"/>
    </xf>
    <xf numFmtId="164" fontId="12" fillId="0" borderId="0" xfId="0" applyNumberFormat="1" applyFont="1" applyFill="1" applyBorder="1" applyAlignment="1">
      <alignment horizontal="left" vertical="center" indent="1"/>
    </xf>
    <xf numFmtId="165" fontId="13" fillId="0" borderId="0" xfId="0" applyNumberFormat="1" applyFont="1" applyFill="1" applyAlignment="1">
      <alignment horizontal="right" vertical="center" indent="1"/>
    </xf>
    <xf numFmtId="0" fontId="14" fillId="0" borderId="0" xfId="0" applyFont="1" applyFill="1" applyAlignment="1">
      <alignment vertical="center"/>
    </xf>
    <xf numFmtId="4" fontId="14" fillId="0" borderId="0" xfId="0" applyNumberFormat="1" applyFont="1" applyFill="1" applyAlignment="1">
      <alignment vertical="center"/>
    </xf>
    <xf numFmtId="4" fontId="0" fillId="0" borderId="0" xfId="20" applyNumberFormat="1" applyFill="1" applyBorder="1" applyAlignment="1">
      <alignment/>
      <protection/>
    </xf>
    <xf numFmtId="4" fontId="0" fillId="0" borderId="0" xfId="20" applyNumberFormat="1" applyFill="1">
      <alignment/>
      <protection/>
    </xf>
    <xf numFmtId="164" fontId="96" fillId="0" borderId="0" xfId="279" applyNumberFormat="1" applyFont="1" applyFill="1" applyAlignment="1">
      <alignment horizontal="right" vertical="center" indent="1"/>
      <protection/>
    </xf>
    <xf numFmtId="49" fontId="0" fillId="0" borderId="44" xfId="20" applyNumberFormat="1" applyFont="1" applyBorder="1" applyAlignment="1">
      <alignment vertical="center" wrapText="1"/>
      <protection/>
    </xf>
    <xf numFmtId="164" fontId="100" fillId="0" borderId="0" xfId="20" applyNumberFormat="1" applyFont="1" applyBorder="1" applyAlignment="1">
      <alignment vertical="center"/>
      <protection/>
    </xf>
    <xf numFmtId="164" fontId="101" fillId="0" borderId="0" xfId="20" applyNumberFormat="1" applyFont="1" applyBorder="1" applyAlignment="1">
      <alignment vertical="center"/>
      <protection/>
    </xf>
    <xf numFmtId="4" fontId="101" fillId="0" borderId="0" xfId="20" applyNumberFormat="1" applyFont="1" applyBorder="1" applyAlignment="1">
      <alignment vertical="center"/>
      <protection/>
    </xf>
    <xf numFmtId="164" fontId="98" fillId="0" borderId="0" xfId="20" applyNumberFormat="1" applyFont="1" applyBorder="1" applyAlignment="1">
      <alignment vertical="center"/>
      <protection/>
    </xf>
    <xf numFmtId="164" fontId="52" fillId="0" borderId="0" xfId="20" applyNumberFormat="1" applyFont="1" applyBorder="1" applyAlignment="1">
      <alignment vertical="center"/>
      <protection/>
    </xf>
    <xf numFmtId="4" fontId="52" fillId="0" borderId="0" xfId="20" applyNumberFormat="1" applyFont="1" applyBorder="1" applyAlignment="1">
      <alignment vertical="center"/>
      <protection/>
    </xf>
    <xf numFmtId="0" fontId="54" fillId="0" borderId="0" xfId="20" applyFont="1" applyBorder="1" applyAlignment="1">
      <alignment vertical="center"/>
      <protection/>
    </xf>
    <xf numFmtId="0" fontId="54" fillId="0" borderId="0" xfId="20" applyFont="1" applyAlignment="1">
      <alignment vertical="center"/>
      <protection/>
    </xf>
    <xf numFmtId="164" fontId="100" fillId="0" borderId="0" xfId="20" applyNumberFormat="1" applyFont="1" applyBorder="1" applyAlignment="1">
      <alignment vertical="top"/>
      <protection/>
    </xf>
    <xf numFmtId="164" fontId="101" fillId="0" borderId="0" xfId="20" applyNumberFormat="1" applyFont="1" applyBorder="1" applyAlignment="1">
      <alignment vertical="top"/>
      <protection/>
    </xf>
    <xf numFmtId="4" fontId="101" fillId="0" borderId="0" xfId="20" applyNumberFormat="1" applyFont="1" applyBorder="1" applyAlignment="1">
      <alignment vertical="top"/>
      <protection/>
    </xf>
    <xf numFmtId="164" fontId="98" fillId="0" borderId="0" xfId="20" applyNumberFormat="1" applyFont="1" applyBorder="1" applyAlignment="1">
      <alignment vertical="top"/>
      <protection/>
    </xf>
    <xf numFmtId="164" fontId="52" fillId="0" borderId="0" xfId="20" applyNumberFormat="1" applyFont="1" applyBorder="1">
      <alignment/>
      <protection/>
    </xf>
    <xf numFmtId="4" fontId="52" fillId="0" borderId="0" xfId="20" applyNumberFormat="1" applyFont="1" applyBorder="1">
      <alignment/>
      <protection/>
    </xf>
    <xf numFmtId="0" fontId="54" fillId="0" borderId="0" xfId="20" applyFont="1" applyBorder="1">
      <alignment/>
      <protection/>
    </xf>
    <xf numFmtId="0" fontId="54" fillId="0" borderId="0" xfId="20" applyFont="1">
      <alignment/>
      <protection/>
    </xf>
    <xf numFmtId="0" fontId="99" fillId="0" borderId="0" xfId="20" applyFont="1">
      <alignment/>
      <protection/>
    </xf>
    <xf numFmtId="0" fontId="102" fillId="0" borderId="0" xfId="20" applyFont="1">
      <alignment/>
      <protection/>
    </xf>
    <xf numFmtId="164" fontId="103" fillId="0" borderId="0" xfId="20" applyNumberFormat="1" applyFont="1" applyBorder="1" applyAlignment="1">
      <alignment vertical="center"/>
      <protection/>
    </xf>
    <xf numFmtId="4" fontId="103" fillId="0" borderId="0" xfId="20" applyNumberFormat="1" applyFont="1" applyBorder="1" applyAlignment="1">
      <alignment vertical="center"/>
      <protection/>
    </xf>
    <xf numFmtId="164" fontId="104" fillId="0" borderId="0" xfId="20" applyNumberFormat="1" applyFont="1" applyBorder="1" applyAlignment="1">
      <alignment vertical="center"/>
      <protection/>
    </xf>
    <xf numFmtId="0" fontId="105" fillId="0" borderId="0" xfId="20" applyFont="1" applyBorder="1" applyAlignment="1">
      <alignment vertical="center"/>
      <protection/>
    </xf>
    <xf numFmtId="0" fontId="105" fillId="0" borderId="0" xfId="20" applyFont="1" applyAlignment="1">
      <alignment vertical="center"/>
      <protection/>
    </xf>
    <xf numFmtId="49" fontId="58" fillId="0" borderId="46" xfId="20" applyNumberFormat="1" applyFont="1" applyBorder="1" applyAlignment="1">
      <alignment horizontal="center"/>
      <protection/>
    </xf>
    <xf numFmtId="0" fontId="15" fillId="0" borderId="0" xfId="20" applyFont="1" applyFill="1" applyBorder="1" applyAlignment="1">
      <alignment vertical="center" wrapText="1"/>
      <protection/>
    </xf>
    <xf numFmtId="0" fontId="17" fillId="0" borderId="48" xfId="20" applyFont="1" applyFill="1" applyBorder="1" applyAlignment="1">
      <alignment vertical="center" wrapText="1"/>
      <protection/>
    </xf>
    <xf numFmtId="0" fontId="17" fillId="0" borderId="49" xfId="20" applyFont="1" applyFill="1" applyBorder="1" applyAlignment="1">
      <alignment vertical="center" wrapText="1"/>
      <protection/>
    </xf>
    <xf numFmtId="49" fontId="3" fillId="0" borderId="50" xfId="23" applyNumberFormat="1" applyFont="1" applyBorder="1" applyAlignment="1">
      <alignment horizontal="center" vertical="center" wrapText="1"/>
      <protection/>
    </xf>
    <xf numFmtId="4" fontId="3" fillId="0" borderId="52" xfId="23" applyNumberFormat="1" applyFont="1" applyBorder="1" applyAlignment="1">
      <alignment horizontal="center" vertical="center" wrapText="1"/>
      <protection/>
    </xf>
    <xf numFmtId="169" fontId="3" fillId="0" borderId="52" xfId="20" applyNumberFormat="1" applyFont="1" applyBorder="1" applyAlignment="1">
      <alignment horizontal="center" vertical="center" wrapText="1"/>
      <protection/>
    </xf>
    <xf numFmtId="169" fontId="3" fillId="0" borderId="69" xfId="20" applyNumberFormat="1" applyFont="1" applyBorder="1" applyAlignment="1">
      <alignment horizontal="center" vertical="center" wrapText="1"/>
      <protection/>
    </xf>
    <xf numFmtId="0" fontId="93" fillId="0" borderId="0" xfId="20" applyFont="1" applyBorder="1" applyAlignment="1">
      <alignment horizontal="center" vertical="center" wrapText="1"/>
      <protection/>
    </xf>
    <xf numFmtId="0" fontId="3" fillId="0" borderId="0" xfId="20" applyFont="1" applyBorder="1" applyAlignment="1">
      <alignment horizontal="center" vertical="center" wrapText="1"/>
      <protection/>
    </xf>
    <xf numFmtId="4" fontId="3" fillId="0" borderId="0" xfId="20" applyNumberFormat="1" applyFont="1" applyBorder="1" applyAlignment="1">
      <alignment horizontal="center" vertical="center" wrapText="1"/>
      <protection/>
    </xf>
    <xf numFmtId="49" fontId="3" fillId="0" borderId="70" xfId="20" applyNumberFormat="1" applyFont="1" applyBorder="1" applyAlignment="1">
      <alignment horizontal="center" vertical="center" wrapText="1"/>
      <protection/>
    </xf>
    <xf numFmtId="0" fontId="0" fillId="0" borderId="71" xfId="20" applyFont="1" applyBorder="1" applyAlignment="1">
      <alignment horizontal="center" vertical="center" wrapText="1"/>
      <protection/>
    </xf>
    <xf numFmtId="0" fontId="3" fillId="0" borderId="36" xfId="20" applyFont="1" applyBorder="1" applyAlignment="1">
      <alignment horizontal="center" vertical="center" wrapText="1"/>
      <protection/>
    </xf>
    <xf numFmtId="4" fontId="3" fillId="0" borderId="37" xfId="20" applyNumberFormat="1" applyFont="1" applyBorder="1" applyAlignment="1">
      <alignment horizontal="center" vertical="center" wrapText="1"/>
      <protection/>
    </xf>
    <xf numFmtId="169" fontId="93" fillId="0" borderId="0" xfId="20" applyNumberFormat="1" applyFont="1" applyBorder="1" applyAlignment="1">
      <alignment horizontal="center" vertical="center" wrapText="1"/>
      <protection/>
    </xf>
    <xf numFmtId="169" fontId="3" fillId="0" borderId="0" xfId="20" applyNumberFormat="1" applyFont="1" applyBorder="1" applyAlignment="1">
      <alignment horizontal="center" vertical="center" wrapText="1"/>
      <protection/>
    </xf>
    <xf numFmtId="49" fontId="17" fillId="31" borderId="72" xfId="20" applyNumberFormat="1" applyFont="1" applyFill="1" applyBorder="1" applyAlignment="1">
      <alignment vertical="center"/>
      <protection/>
    </xf>
    <xf numFmtId="0" fontId="17" fillId="31" borderId="73" xfId="20" applyFont="1" applyFill="1" applyBorder="1" applyAlignment="1">
      <alignment vertical="center" wrapText="1"/>
      <protection/>
    </xf>
    <xf numFmtId="0" fontId="17" fillId="31" borderId="73" xfId="20" applyFont="1" applyFill="1" applyBorder="1" applyAlignment="1">
      <alignment horizontal="center" vertical="center"/>
      <protection/>
    </xf>
    <xf numFmtId="4" fontId="30" fillId="31" borderId="38" xfId="20" applyNumberFormat="1" applyFont="1" applyFill="1" applyBorder="1" applyAlignment="1">
      <alignment horizontal="right" vertical="center" indent="1"/>
      <protection/>
    </xf>
    <xf numFmtId="169" fontId="106" fillId="0" borderId="0" xfId="20" applyNumberFormat="1" applyFont="1" applyAlignment="1">
      <alignment vertical="center"/>
      <protection/>
    </xf>
    <xf numFmtId="169" fontId="17" fillId="0" borderId="0" xfId="20" applyNumberFormat="1" applyFont="1" applyAlignment="1">
      <alignment vertical="center"/>
      <protection/>
    </xf>
    <xf numFmtId="0" fontId="17" fillId="0" borderId="0" xfId="20" applyFont="1" applyFill="1" applyAlignment="1">
      <alignment vertical="center"/>
      <protection/>
    </xf>
    <xf numFmtId="4" fontId="17" fillId="0" borderId="0" xfId="20" applyNumberFormat="1" applyFont="1" applyFill="1" applyAlignment="1">
      <alignment vertical="center"/>
      <protection/>
    </xf>
    <xf numFmtId="3" fontId="108" fillId="0" borderId="16" xfId="20" applyNumberFormat="1" applyFont="1" applyFill="1" applyBorder="1" applyAlignment="1">
      <alignment horizontal="center" vertical="center"/>
      <protection/>
    </xf>
    <xf numFmtId="3" fontId="109" fillId="31" borderId="73" xfId="20" applyNumberFormat="1" applyFont="1" applyFill="1" applyBorder="1" applyAlignment="1">
      <alignment horizontal="center" vertical="center"/>
      <protection/>
    </xf>
    <xf numFmtId="4" fontId="17" fillId="32" borderId="38" xfId="31" applyNumberFormat="1" applyFont="1" applyFill="1" applyBorder="1" applyAlignment="1">
      <alignment horizontal="right" vertical="center" indent="1"/>
      <protection/>
    </xf>
    <xf numFmtId="3" fontId="110" fillId="0" borderId="0" xfId="20" applyNumberFormat="1" applyFont="1" applyBorder="1" applyAlignment="1">
      <alignment vertical="center"/>
      <protection/>
    </xf>
    <xf numFmtId="49" fontId="0" fillId="0" borderId="54" xfId="20" applyNumberFormat="1" applyBorder="1" applyAlignment="1">
      <alignment vertical="center"/>
      <protection/>
    </xf>
    <xf numFmtId="0" fontId="111" fillId="0" borderId="16" xfId="20" applyFont="1" applyBorder="1" applyAlignment="1">
      <alignment vertical="center" wrapText="1"/>
      <protection/>
    </xf>
    <xf numFmtId="0" fontId="55" fillId="0" borderId="16" xfId="20" applyFont="1" applyBorder="1" applyAlignment="1">
      <alignment horizontal="center" vertical="center"/>
      <protection/>
    </xf>
    <xf numFmtId="169" fontId="99" fillId="0" borderId="0" xfId="20" applyNumberFormat="1" applyFont="1" applyAlignment="1">
      <alignment vertical="center"/>
      <protection/>
    </xf>
    <xf numFmtId="169" fontId="0" fillId="0" borderId="0" xfId="20" applyNumberFormat="1" applyAlignment="1">
      <alignment vertical="center"/>
      <protection/>
    </xf>
    <xf numFmtId="49" fontId="3" fillId="0" borderId="54" xfId="20" applyNumberFormat="1" applyFont="1" applyBorder="1" applyAlignment="1">
      <alignment vertical="center"/>
      <protection/>
    </xf>
    <xf numFmtId="3" fontId="108" fillId="0" borderId="16" xfId="20" applyNumberFormat="1" applyFont="1" applyBorder="1" applyAlignment="1">
      <alignment horizontal="center" vertical="center"/>
      <protection/>
    </xf>
    <xf numFmtId="49" fontId="0" fillId="0" borderId="12" xfId="20" applyNumberFormat="1" applyBorder="1" applyAlignment="1">
      <alignment vertical="center"/>
      <protection/>
    </xf>
    <xf numFmtId="0" fontId="0" fillId="0" borderId="14" xfId="20" applyFont="1" applyBorder="1" applyAlignment="1">
      <alignment vertical="center" wrapText="1"/>
      <protection/>
    </xf>
    <xf numFmtId="10" fontId="55" fillId="0" borderId="14" xfId="20" applyNumberFormat="1" applyFont="1" applyBorder="1" applyAlignment="1">
      <alignment horizontal="center" vertical="center"/>
      <protection/>
    </xf>
    <xf numFmtId="0" fontId="0" fillId="0" borderId="0" xfId="20" applyFont="1" applyAlignment="1">
      <alignment horizontal="justify"/>
      <protection/>
    </xf>
    <xf numFmtId="49" fontId="17" fillId="31" borderId="12" xfId="20" applyNumberFormat="1" applyFont="1" applyFill="1" applyBorder="1" applyAlignment="1">
      <alignment vertical="center"/>
      <protection/>
    </xf>
    <xf numFmtId="0" fontId="17" fillId="31" borderId="14" xfId="20" applyFont="1" applyFill="1" applyBorder="1" applyAlignment="1">
      <alignment vertical="center" wrapText="1"/>
      <protection/>
    </xf>
    <xf numFmtId="3" fontId="109" fillId="31" borderId="14" xfId="20" applyNumberFormat="1" applyFont="1" applyFill="1" applyBorder="1" applyAlignment="1">
      <alignment vertical="center"/>
      <protection/>
    </xf>
    <xf numFmtId="4" fontId="17" fillId="31" borderId="15" xfId="20" applyNumberFormat="1" applyFont="1" applyFill="1" applyBorder="1" applyAlignment="1">
      <alignment horizontal="right" vertical="center" indent="1"/>
      <protection/>
    </xf>
    <xf numFmtId="49" fontId="17" fillId="7" borderId="12" xfId="20" applyNumberFormat="1" applyFont="1" applyFill="1" applyBorder="1" applyAlignment="1">
      <alignment vertical="center"/>
      <protection/>
    </xf>
    <xf numFmtId="0" fontId="17" fillId="7" borderId="14" xfId="20" applyFont="1" applyFill="1" applyBorder="1" applyAlignment="1">
      <alignment vertical="center" wrapText="1"/>
      <protection/>
    </xf>
    <xf numFmtId="3" fontId="109" fillId="7" borderId="14" xfId="20" applyNumberFormat="1" applyFont="1" applyFill="1" applyBorder="1" applyAlignment="1">
      <alignment vertical="center"/>
      <protection/>
    </xf>
    <xf numFmtId="4" fontId="17" fillId="7" borderId="15" xfId="20" applyNumberFormat="1" applyFont="1" applyFill="1" applyBorder="1" applyAlignment="1">
      <alignment horizontal="right" vertical="center" indent="1"/>
      <protection/>
    </xf>
    <xf numFmtId="49" fontId="17" fillId="4" borderId="12" xfId="20" applyNumberFormat="1" applyFont="1" applyFill="1" applyBorder="1" applyAlignment="1">
      <alignment vertical="center"/>
      <protection/>
    </xf>
    <xf numFmtId="0" fontId="17" fillId="4" borderId="14" xfId="20" applyFont="1" applyFill="1" applyBorder="1" applyAlignment="1">
      <alignment vertical="center" wrapText="1"/>
      <protection/>
    </xf>
    <xf numFmtId="3" fontId="109" fillId="4" borderId="14" xfId="20" applyNumberFormat="1" applyFont="1" applyFill="1" applyBorder="1" applyAlignment="1">
      <alignment vertical="center"/>
      <protection/>
    </xf>
    <xf numFmtId="4" fontId="17" fillId="4" borderId="15" xfId="20" applyNumberFormat="1" applyFont="1" applyFill="1" applyBorder="1" applyAlignment="1">
      <alignment horizontal="right" vertical="center" indent="1"/>
      <protection/>
    </xf>
    <xf numFmtId="0" fontId="55" fillId="0" borderId="14" xfId="20" applyFont="1" applyBorder="1" applyAlignment="1">
      <alignment vertical="center"/>
      <protection/>
    </xf>
    <xf numFmtId="169" fontId="0" fillId="0" borderId="0" xfId="20" applyNumberFormat="1" applyFont="1" applyAlignment="1">
      <alignment vertical="center"/>
      <protection/>
    </xf>
    <xf numFmtId="49" fontId="17" fillId="23" borderId="12" xfId="20" applyNumberFormat="1" applyFont="1" applyFill="1" applyBorder="1" applyAlignment="1">
      <alignment vertical="center"/>
      <protection/>
    </xf>
    <xf numFmtId="0" fontId="17" fillId="23" borderId="14" xfId="20" applyFont="1" applyFill="1" applyBorder="1" applyAlignment="1">
      <alignment vertical="center" wrapText="1"/>
      <protection/>
    </xf>
    <xf numFmtId="3" fontId="109" fillId="23" borderId="14" xfId="20" applyNumberFormat="1" applyFont="1" applyFill="1" applyBorder="1" applyAlignment="1">
      <alignment vertical="center"/>
      <protection/>
    </xf>
    <xf numFmtId="4" fontId="17" fillId="23" borderId="15" xfId="20" applyNumberFormat="1" applyFont="1" applyFill="1" applyBorder="1" applyAlignment="1">
      <alignment horizontal="right" vertical="center" indent="1"/>
      <protection/>
    </xf>
    <xf numFmtId="49" fontId="0" fillId="0" borderId="20" xfId="20" applyNumberFormat="1" applyBorder="1" applyAlignment="1">
      <alignment vertical="center"/>
      <protection/>
    </xf>
    <xf numFmtId="0" fontId="0" fillId="31" borderId="61" xfId="20" applyFont="1" applyFill="1" applyBorder="1" applyAlignment="1">
      <alignment vertical="center" wrapText="1"/>
      <protection/>
    </xf>
    <xf numFmtId="0" fontId="0" fillId="31" borderId="62" xfId="20" applyFont="1" applyFill="1" applyBorder="1" applyAlignment="1">
      <alignment vertical="center" wrapText="1"/>
      <protection/>
    </xf>
    <xf numFmtId="4" fontId="0" fillId="31" borderId="38" xfId="20" applyNumberFormat="1" applyFont="1" applyFill="1" applyBorder="1" applyAlignment="1">
      <alignment vertical="center" wrapText="1"/>
      <protection/>
    </xf>
    <xf numFmtId="49" fontId="0" fillId="0" borderId="43" xfId="20" applyNumberFormat="1" applyBorder="1" applyAlignment="1">
      <alignment vertical="center"/>
      <protection/>
    </xf>
    <xf numFmtId="49" fontId="0" fillId="0" borderId="46" xfId="20" applyNumberFormat="1" applyBorder="1" applyAlignment="1">
      <alignment vertical="center"/>
      <protection/>
    </xf>
    <xf numFmtId="0" fontId="97" fillId="0" borderId="0" xfId="20" applyFont="1" applyBorder="1" applyAlignment="1">
      <alignment horizontal="left" wrapText="1"/>
      <protection/>
    </xf>
    <xf numFmtId="0" fontId="112" fillId="0" borderId="0" xfId="20" applyFont="1" applyBorder="1" applyAlignment="1">
      <alignment horizontal="left" wrapText="1"/>
      <protection/>
    </xf>
    <xf numFmtId="0" fontId="112" fillId="0" borderId="11" xfId="20" applyFont="1" applyBorder="1" applyAlignment="1">
      <alignment horizontal="left" wrapText="1"/>
      <protection/>
    </xf>
    <xf numFmtId="0" fontId="0" fillId="0" borderId="0" xfId="20" applyFont="1" applyBorder="1" applyAlignment="1">
      <alignment vertical="center" wrapText="1"/>
      <protection/>
    </xf>
    <xf numFmtId="0" fontId="0" fillId="20" borderId="43" xfId="20" applyFill="1" applyBorder="1" applyAlignment="1">
      <alignment vertical="center"/>
      <protection/>
    </xf>
    <xf numFmtId="4" fontId="0" fillId="20" borderId="45" xfId="20" applyNumberFormat="1" applyFill="1" applyBorder="1" applyAlignment="1">
      <alignment horizontal="right" vertical="center"/>
      <protection/>
    </xf>
    <xf numFmtId="0" fontId="0" fillId="20" borderId="46" xfId="20" applyFill="1" applyBorder="1" applyAlignment="1">
      <alignment vertical="center"/>
      <protection/>
    </xf>
    <xf numFmtId="4" fontId="0" fillId="20" borderId="11" xfId="20" applyNumberFormat="1" applyFill="1" applyBorder="1" applyAlignment="1">
      <alignment horizontal="right" vertical="center"/>
      <protection/>
    </xf>
    <xf numFmtId="49" fontId="0" fillId="0" borderId="47" xfId="20" applyNumberFormat="1" applyBorder="1" applyAlignment="1">
      <alignment vertical="center"/>
      <protection/>
    </xf>
    <xf numFmtId="0" fontId="0" fillId="0" borderId="48" xfId="20" applyFont="1" applyBorder="1" applyAlignment="1">
      <alignment vertical="center" wrapText="1"/>
      <protection/>
    </xf>
    <xf numFmtId="14" fontId="0" fillId="20" borderId="47" xfId="20" applyNumberFormat="1" applyFill="1" applyBorder="1" applyAlignment="1">
      <alignment horizontal="left" vertical="center"/>
      <protection/>
    </xf>
    <xf numFmtId="4" fontId="0" fillId="20" borderId="49" xfId="20" applyNumberFormat="1" applyFill="1" applyBorder="1" applyAlignment="1">
      <alignment horizontal="right" vertical="center"/>
      <protection/>
    </xf>
    <xf numFmtId="49" fontId="0" fillId="0" borderId="0" xfId="20" applyNumberFormat="1">
      <alignment/>
      <protection/>
    </xf>
    <xf numFmtId="0" fontId="112" fillId="0" borderId="0" xfId="20" applyFont="1">
      <alignment/>
      <protection/>
    </xf>
    <xf numFmtId="0" fontId="112" fillId="0" borderId="0" xfId="20" applyFont="1" applyAlignment="1">
      <alignment horizontal="right" vertical="center" indent="1"/>
      <protection/>
    </xf>
    <xf numFmtId="4" fontId="112" fillId="0" borderId="0" xfId="20" applyNumberFormat="1" applyFont="1">
      <alignment/>
      <protection/>
    </xf>
    <xf numFmtId="169" fontId="99" fillId="0" borderId="0" xfId="20" applyNumberFormat="1" applyFont="1">
      <alignment/>
      <protection/>
    </xf>
    <xf numFmtId="169" fontId="0" fillId="0" borderId="0" xfId="20" applyNumberFormat="1">
      <alignment/>
      <protection/>
    </xf>
    <xf numFmtId="0" fontId="0" fillId="0" borderId="0" xfId="20" applyAlignment="1">
      <alignment horizontal="right" vertical="center" indent="1"/>
      <protection/>
    </xf>
    <xf numFmtId="4" fontId="99" fillId="0" borderId="0" xfId="20" applyNumberFormat="1" applyFont="1">
      <alignment/>
      <protection/>
    </xf>
    <xf numFmtId="169" fontId="113" fillId="0" borderId="0" xfId="20" applyNumberFormat="1" applyFont="1">
      <alignment/>
      <protection/>
    </xf>
    <xf numFmtId="0" fontId="15" fillId="0" borderId="46" xfId="20" applyFont="1" applyFill="1" applyBorder="1" applyAlignment="1">
      <alignment horizontal="center" vertical="center"/>
      <protection/>
    </xf>
    <xf numFmtId="4" fontId="37" fillId="0" borderId="15" xfId="279" applyNumberFormat="1" applyFont="1" applyFill="1" applyBorder="1" applyAlignment="1">
      <alignment horizontal="right" vertical="center" indent="1"/>
      <protection/>
    </xf>
    <xf numFmtId="3" fontId="107" fillId="0" borderId="0" xfId="20" applyNumberFormat="1" applyFont="1" applyFill="1" applyBorder="1" applyAlignment="1">
      <alignment vertical="center"/>
      <protection/>
    </xf>
    <xf numFmtId="49" fontId="114" fillId="0" borderId="0" xfId="20" applyNumberFormat="1" applyFont="1" applyFill="1" applyBorder="1" applyAlignment="1">
      <alignment vertical="center" wrapText="1"/>
      <protection/>
    </xf>
    <xf numFmtId="49" fontId="116" fillId="0" borderId="12" xfId="279" applyNumberFormat="1" applyFont="1" applyFill="1" applyBorder="1" applyAlignment="1">
      <alignment horizontal="center" vertical="center"/>
      <protection/>
    </xf>
    <xf numFmtId="49" fontId="116" fillId="0" borderId="14" xfId="279" applyNumberFormat="1" applyFont="1" applyFill="1" applyBorder="1" applyAlignment="1">
      <alignment horizontal="center" vertical="center"/>
      <protection/>
    </xf>
    <xf numFmtId="0" fontId="115" fillId="0" borderId="14" xfId="279" applyFont="1" applyFill="1" applyBorder="1" applyAlignment="1">
      <alignment vertical="center" wrapText="1"/>
      <protection/>
    </xf>
    <xf numFmtId="4" fontId="92" fillId="0" borderId="14" xfId="20" applyNumberFormat="1" applyFont="1" applyFill="1" applyBorder="1" applyAlignment="1">
      <alignment horizontal="right" vertical="center" wrapText="1" indent="1"/>
      <protection/>
    </xf>
    <xf numFmtId="4" fontId="116" fillId="0" borderId="14" xfId="279" applyNumberFormat="1" applyFont="1" applyFill="1" applyBorder="1" applyAlignment="1">
      <alignment horizontal="right" vertical="center" indent="1"/>
      <protection/>
    </xf>
    <xf numFmtId="4" fontId="92" fillId="0" borderId="15" xfId="20" applyNumberFormat="1" applyFont="1" applyFill="1" applyBorder="1" applyAlignment="1">
      <alignment horizontal="right" vertical="center" wrapText="1" indent="1"/>
      <protection/>
    </xf>
    <xf numFmtId="164" fontId="117" fillId="0" borderId="0" xfId="279" applyNumberFormat="1" applyFont="1" applyFill="1" applyAlignment="1">
      <alignment horizontal="right" vertical="center" indent="1"/>
      <protection/>
    </xf>
    <xf numFmtId="165" fontId="92" fillId="0" borderId="0" xfId="25" applyNumberFormat="1" applyFont="1" applyFill="1" applyBorder="1" applyAlignment="1">
      <alignment horizontal="right" vertical="center" indent="1"/>
      <protection/>
    </xf>
    <xf numFmtId="165" fontId="92" fillId="0" borderId="0" xfId="25" applyNumberFormat="1" applyFont="1" applyFill="1" applyAlignment="1">
      <alignment horizontal="right" vertical="center" indent="1"/>
      <protection/>
    </xf>
    <xf numFmtId="165" fontId="118" fillId="0" borderId="0" xfId="25" applyNumberFormat="1" applyFont="1" applyFill="1" applyAlignment="1">
      <alignment horizontal="right" vertical="center" indent="1"/>
      <protection/>
    </xf>
    <xf numFmtId="0" fontId="118" fillId="0" borderId="0" xfId="25" applyFont="1" applyFill="1">
      <alignment/>
      <protection/>
    </xf>
    <xf numFmtId="4" fontId="118" fillId="0" borderId="0" xfId="25" applyNumberFormat="1" applyFont="1" applyFill="1">
      <alignment/>
      <protection/>
    </xf>
    <xf numFmtId="0" fontId="118" fillId="0" borderId="0" xfId="32" applyFont="1" applyFill="1" applyAlignment="1">
      <alignment vertical="center"/>
      <protection/>
    </xf>
    <xf numFmtId="49" fontId="115" fillId="0" borderId="12" xfId="279" applyNumberFormat="1" applyFont="1" applyFill="1" applyBorder="1" applyAlignment="1">
      <alignment horizontal="center" vertical="center"/>
      <protection/>
    </xf>
    <xf numFmtId="49" fontId="115" fillId="0" borderId="14" xfId="279" applyNumberFormat="1" applyFont="1" applyFill="1" applyBorder="1" applyAlignment="1">
      <alignment horizontal="center" vertical="center"/>
      <protection/>
    </xf>
    <xf numFmtId="49" fontId="115" fillId="0" borderId="14" xfId="279" applyNumberFormat="1" applyFont="1" applyFill="1" applyBorder="1" applyAlignment="1">
      <alignment horizontal="center" vertical="center" shrinkToFit="1"/>
      <protection/>
    </xf>
    <xf numFmtId="4" fontId="115" fillId="0" borderId="14" xfId="279" applyNumberFormat="1" applyFont="1" applyFill="1" applyBorder="1" applyAlignment="1">
      <alignment horizontal="right" vertical="center" indent="1"/>
      <protection/>
    </xf>
    <xf numFmtId="165" fontId="41" fillId="0" borderId="0" xfId="25" applyNumberFormat="1" applyFont="1" applyFill="1" applyBorder="1" applyAlignment="1">
      <alignment horizontal="right" vertical="center" indent="1"/>
      <protection/>
    </xf>
    <xf numFmtId="165" fontId="41" fillId="0" borderId="0" xfId="25" applyNumberFormat="1" applyFont="1" applyFill="1" applyAlignment="1">
      <alignment horizontal="right" vertical="center" indent="1"/>
      <protection/>
    </xf>
    <xf numFmtId="165" fontId="42" fillId="0" borderId="0" xfId="25" applyNumberFormat="1" applyFont="1" applyFill="1" applyAlignment="1">
      <alignment horizontal="right" vertical="center" indent="1"/>
      <protection/>
    </xf>
    <xf numFmtId="0" fontId="33" fillId="0" borderId="0" xfId="25" applyFont="1" applyFill="1">
      <alignment/>
      <protection/>
    </xf>
    <xf numFmtId="4" fontId="33" fillId="0" borderId="0" xfId="25" applyNumberFormat="1" applyFont="1" applyFill="1">
      <alignment/>
      <protection/>
    </xf>
    <xf numFmtId="0" fontId="33" fillId="0" borderId="0" xfId="32" applyFont="1" applyFill="1" applyAlignment="1">
      <alignment vertical="center"/>
      <protection/>
    </xf>
    <xf numFmtId="0" fontId="50" fillId="0" borderId="14" xfId="25" applyFont="1" applyFill="1" applyBorder="1" applyAlignment="1">
      <alignment horizontal="left" vertical="center" wrapText="1"/>
      <protection/>
    </xf>
    <xf numFmtId="4" fontId="37" fillId="0" borderId="42" xfId="25" applyNumberFormat="1" applyFont="1" applyFill="1" applyBorder="1" applyAlignment="1">
      <alignment horizontal="center" vertical="center"/>
      <protection/>
    </xf>
    <xf numFmtId="4" fontId="50" fillId="0" borderId="16" xfId="0" applyNumberFormat="1" applyFont="1" applyFill="1" applyBorder="1" applyAlignment="1">
      <alignment horizontal="right" vertical="center" indent="1"/>
    </xf>
    <xf numFmtId="4" fontId="50" fillId="0" borderId="15" xfId="25" applyNumberFormat="1" applyFont="1" applyFill="1" applyBorder="1" applyAlignment="1">
      <alignment horizontal="right" vertical="center" indent="1"/>
      <protection/>
    </xf>
    <xf numFmtId="0" fontId="50" fillId="0" borderId="0" xfId="25" applyFont="1" applyFill="1" applyBorder="1" applyAlignment="1">
      <alignment vertical="center"/>
      <protection/>
    </xf>
    <xf numFmtId="4" fontId="50" fillId="0" borderId="14" xfId="25" applyNumberFormat="1" applyFont="1" applyFill="1" applyBorder="1" applyAlignment="1">
      <alignment horizontal="left" vertical="center" wrapText="1"/>
      <protection/>
    </xf>
    <xf numFmtId="164" fontId="16" fillId="0" borderId="0" xfId="277" applyNumberFormat="1" applyFont="1" applyFill="1" applyBorder="1" applyAlignment="1">
      <alignment horizontal="right" vertical="center" indent="1"/>
      <protection/>
    </xf>
    <xf numFmtId="164" fontId="3" fillId="0" borderId="0" xfId="25" applyNumberFormat="1" applyFont="1" applyFill="1" applyBorder="1" applyAlignment="1">
      <alignment horizontal="right" vertical="center" indent="1"/>
      <protection/>
    </xf>
    <xf numFmtId="165" fontId="3" fillId="0" borderId="0" xfId="25" applyNumberFormat="1" applyFont="1" applyFill="1" applyAlignment="1">
      <alignment horizontal="right" vertical="center" indent="1"/>
      <protection/>
    </xf>
    <xf numFmtId="164" fontId="52" fillId="0" borderId="0" xfId="25" applyNumberFormat="1" applyFont="1" applyFill="1" applyBorder="1" applyAlignment="1">
      <alignment horizontal="right" vertical="center" indent="1"/>
      <protection/>
    </xf>
    <xf numFmtId="0" fontId="52" fillId="0" borderId="0" xfId="25" applyFont="1" applyFill="1" applyBorder="1" applyAlignment="1">
      <alignment vertical="center"/>
      <protection/>
    </xf>
    <xf numFmtId="0" fontId="52" fillId="0" borderId="0" xfId="25" applyFont="1" applyFill="1" applyAlignment="1">
      <alignment vertical="center"/>
      <protection/>
    </xf>
    <xf numFmtId="164" fontId="52" fillId="0" borderId="0" xfId="279" applyNumberFormat="1" applyFont="1" applyFill="1" applyBorder="1" applyAlignment="1">
      <alignment horizontal="right" vertical="center" indent="1"/>
      <protection/>
    </xf>
    <xf numFmtId="0" fontId="52" fillId="0" borderId="0" xfId="279" applyFont="1" applyFill="1" applyBorder="1" applyAlignment="1">
      <alignment vertical="center"/>
      <protection/>
    </xf>
    <xf numFmtId="0" fontId="3" fillId="0" borderId="0" xfId="279" applyFont="1" applyFill="1" applyAlignment="1">
      <alignment vertical="center"/>
      <protection/>
    </xf>
    <xf numFmtId="0" fontId="52" fillId="0" borderId="0" xfId="279" applyFont="1" applyFill="1" applyAlignment="1">
      <alignment vertical="center"/>
      <protection/>
    </xf>
    <xf numFmtId="164" fontId="31" fillId="0" borderId="0" xfId="26" applyNumberFormat="1" applyFont="1" applyFill="1" applyBorder="1" applyAlignment="1">
      <alignment horizontal="right" vertical="center" indent="1"/>
      <protection/>
    </xf>
    <xf numFmtId="164" fontId="45" fillId="0" borderId="0" xfId="25" applyNumberFormat="1" applyFont="1" applyFill="1" applyBorder="1" applyAlignment="1">
      <alignment horizontal="right" vertical="center" indent="1"/>
      <protection/>
    </xf>
    <xf numFmtId="165" fontId="43" fillId="0" borderId="0" xfId="25" applyNumberFormat="1" applyFont="1" applyFill="1" applyAlignment="1">
      <alignment horizontal="right" vertical="center" indent="1"/>
      <protection/>
    </xf>
    <xf numFmtId="0" fontId="2" fillId="0" borderId="0" xfId="25" applyFont="1" applyFill="1">
      <alignment/>
      <protection/>
    </xf>
    <xf numFmtId="4" fontId="2" fillId="0" borderId="0" xfId="25" applyNumberFormat="1" applyFont="1" applyFill="1">
      <alignment/>
      <protection/>
    </xf>
    <xf numFmtId="0" fontId="20" fillId="0" borderId="55" xfId="20" applyFont="1" applyFill="1" applyBorder="1" applyAlignment="1">
      <alignment horizontal="center" vertical="center"/>
      <protection/>
    </xf>
    <xf numFmtId="0" fontId="20" fillId="0" borderId="66" xfId="20" applyFont="1" applyFill="1" applyBorder="1" applyAlignment="1">
      <alignment vertical="center" wrapText="1"/>
      <protection/>
    </xf>
    <xf numFmtId="49" fontId="115" fillId="0" borderId="66" xfId="279" applyNumberFormat="1" applyFont="1" applyFill="1" applyBorder="1" applyAlignment="1">
      <alignment horizontal="center" vertical="center" shrinkToFit="1"/>
      <protection/>
    </xf>
    <xf numFmtId="4" fontId="20" fillId="0" borderId="67" xfId="20" applyNumberFormat="1" applyFont="1" applyFill="1" applyBorder="1" applyAlignment="1">
      <alignment horizontal="right" vertical="center" indent="1"/>
      <protection/>
    </xf>
    <xf numFmtId="4" fontId="115" fillId="0" borderId="67" xfId="279" applyNumberFormat="1" applyFont="1" applyFill="1" applyBorder="1" applyAlignment="1">
      <alignment horizontal="right" vertical="center" indent="1"/>
      <protection/>
    </xf>
    <xf numFmtId="4" fontId="20" fillId="0" borderId="15" xfId="22" applyNumberFormat="1" applyFont="1" applyFill="1" applyBorder="1" applyAlignment="1">
      <alignment horizontal="right" vertical="center" indent="1"/>
      <protection/>
    </xf>
    <xf numFmtId="164" fontId="42" fillId="0" borderId="0" xfId="20" applyNumberFormat="1" applyFont="1" applyFill="1" applyBorder="1" applyAlignment="1">
      <alignment horizontal="right" vertical="center" indent="1"/>
      <protection/>
    </xf>
    <xf numFmtId="165" fontId="42" fillId="0" borderId="0" xfId="20" applyNumberFormat="1" applyFont="1" applyFill="1" applyAlignment="1">
      <alignment horizontal="right" vertical="center" indent="1"/>
      <protection/>
    </xf>
    <xf numFmtId="0" fontId="33" fillId="0" borderId="0" xfId="20" applyFont="1" applyFill="1" applyAlignment="1">
      <alignment vertical="center"/>
      <protection/>
    </xf>
    <xf numFmtId="4" fontId="33" fillId="0" borderId="0" xfId="20" applyNumberFormat="1" applyFont="1" applyFill="1" applyAlignment="1">
      <alignment vertical="center"/>
      <protection/>
    </xf>
    <xf numFmtId="164" fontId="6" fillId="0" borderId="0" xfId="279" applyNumberFormat="1" applyFont="1" applyFill="1" applyAlignment="1">
      <alignment horizontal="right" vertical="center" indent="1"/>
      <protection/>
    </xf>
    <xf numFmtId="49" fontId="2" fillId="0" borderId="55" xfId="25" applyNumberFormat="1" applyFont="1" applyFill="1" applyBorder="1" applyAlignment="1">
      <alignment horizontal="center" vertical="center"/>
      <protection/>
    </xf>
    <xf numFmtId="49" fontId="2" fillId="0" borderId="42" xfId="279" applyNumberFormat="1" applyFont="1" applyFill="1" applyBorder="1" applyAlignment="1">
      <alignment horizontal="center" vertical="center" shrinkToFit="1"/>
      <protection/>
    </xf>
    <xf numFmtId="4" fontId="3" fillId="0" borderId="36" xfId="20" applyNumberFormat="1" applyFont="1" applyFill="1" applyBorder="1" applyAlignment="1">
      <alignment horizontal="right" vertical="center" indent="1"/>
      <protection/>
    </xf>
    <xf numFmtId="4" fontId="2" fillId="0" borderId="36" xfId="279" applyNumberFormat="1" applyFont="1" applyFill="1" applyBorder="1" applyAlignment="1">
      <alignment horizontal="right" vertical="center" indent="1"/>
      <protection/>
    </xf>
    <xf numFmtId="49" fontId="121" fillId="0" borderId="54" xfId="25" applyNumberFormat="1" applyFont="1" applyFill="1" applyBorder="1" applyAlignment="1">
      <alignment horizontal="center" vertical="center"/>
      <protection/>
    </xf>
    <xf numFmtId="49" fontId="121" fillId="0" borderId="13" xfId="25" applyNumberFormat="1" applyFont="1" applyFill="1" applyBorder="1" applyAlignment="1">
      <alignment horizontal="center" vertical="center"/>
      <protection/>
    </xf>
    <xf numFmtId="0" fontId="121" fillId="0" borderId="14" xfId="25" applyFont="1" applyFill="1" applyBorder="1" applyAlignment="1">
      <alignment horizontal="left" vertical="center" wrapText="1"/>
      <protection/>
    </xf>
    <xf numFmtId="4" fontId="121" fillId="0" borderId="42" xfId="25" applyNumberFormat="1" applyFont="1" applyFill="1" applyBorder="1" applyAlignment="1">
      <alignment horizontal="center" vertical="center"/>
      <protection/>
    </xf>
    <xf numFmtId="4" fontId="121" fillId="0" borderId="16" xfId="0" applyNumberFormat="1" applyFont="1" applyFill="1" applyBorder="1" applyAlignment="1">
      <alignment horizontal="right" vertical="center" indent="1"/>
    </xf>
    <xf numFmtId="4" fontId="121" fillId="0" borderId="14" xfId="25" applyNumberFormat="1" applyFont="1" applyFill="1" applyBorder="1" applyAlignment="1">
      <alignment horizontal="right" vertical="center" indent="1"/>
      <protection/>
    </xf>
    <xf numFmtId="4" fontId="121" fillId="0" borderId="15" xfId="25" applyNumberFormat="1" applyFont="1" applyFill="1" applyBorder="1" applyAlignment="1">
      <alignment horizontal="right" vertical="center" indent="1"/>
      <protection/>
    </xf>
    <xf numFmtId="164" fontId="121" fillId="0" borderId="0" xfId="25" applyNumberFormat="1" applyFont="1" applyFill="1" applyBorder="1" applyAlignment="1">
      <alignment horizontal="right" vertical="center" indent="1"/>
      <protection/>
    </xf>
    <xf numFmtId="0" fontId="121" fillId="0" borderId="0" xfId="25" applyFont="1" applyFill="1" applyBorder="1" applyAlignment="1">
      <alignment vertical="center"/>
      <protection/>
    </xf>
    <xf numFmtId="0" fontId="121" fillId="0" borderId="0" xfId="25" applyFont="1" applyFill="1" applyAlignment="1">
      <alignment vertical="center"/>
      <protection/>
    </xf>
    <xf numFmtId="4" fontId="2" fillId="0" borderId="14" xfId="25" applyNumberFormat="1" applyFont="1" applyFill="1" applyBorder="1" applyAlignment="1">
      <alignment horizontal="left" vertical="center" wrapText="1"/>
      <protection/>
    </xf>
    <xf numFmtId="49" fontId="32" fillId="0" borderId="14" xfId="279" applyNumberFormat="1" applyFont="1" applyFill="1" applyBorder="1" applyAlignment="1">
      <alignment horizontal="center" vertical="center"/>
      <protection/>
    </xf>
    <xf numFmtId="0" fontId="33" fillId="0" borderId="55" xfId="20" applyFont="1" applyFill="1" applyBorder="1" applyAlignment="1">
      <alignment horizontal="center" vertical="center"/>
      <protection/>
    </xf>
    <xf numFmtId="49" fontId="20" fillId="0" borderId="54" xfId="20" applyNumberFormat="1" applyFont="1" applyFill="1" applyBorder="1" applyAlignment="1">
      <alignment horizontal="center" vertical="center"/>
      <protection/>
    </xf>
    <xf numFmtId="0" fontId="122" fillId="0" borderId="0" xfId="0" applyFont="1" applyFill="1"/>
    <xf numFmtId="4" fontId="50" fillId="0" borderId="14" xfId="0" applyNumberFormat="1" applyFont="1" applyFill="1" applyBorder="1" applyAlignment="1">
      <alignment horizontal="right" vertical="center" indent="1"/>
    </xf>
    <xf numFmtId="49" fontId="20" fillId="0" borderId="17" xfId="20" applyNumberFormat="1" applyFont="1" applyFill="1" applyBorder="1" applyAlignment="1">
      <alignment horizontal="center" vertical="center"/>
      <protection/>
    </xf>
    <xf numFmtId="0" fontId="33" fillId="0" borderId="63" xfId="20" applyFont="1" applyFill="1" applyBorder="1" applyAlignment="1">
      <alignment horizontal="center" vertical="center"/>
      <protection/>
    </xf>
    <xf numFmtId="0" fontId="33" fillId="0" borderId="18" xfId="20" applyFont="1" applyFill="1" applyBorder="1" applyAlignment="1">
      <alignment vertical="center"/>
      <protection/>
    </xf>
    <xf numFmtId="0" fontId="0" fillId="0" borderId="18" xfId="20" applyFill="1" applyBorder="1" applyAlignment="1">
      <alignment vertical="center"/>
      <protection/>
    </xf>
    <xf numFmtId="4" fontId="0" fillId="0" borderId="64" xfId="20" applyNumberFormat="1" applyFill="1" applyBorder="1" applyAlignment="1">
      <alignment horizontal="right" vertical="center" indent="1"/>
      <protection/>
    </xf>
    <xf numFmtId="4" fontId="0" fillId="0" borderId="64" xfId="20" applyNumberFormat="1" applyFont="1" applyFill="1" applyBorder="1" applyAlignment="1">
      <alignment horizontal="center" vertical="center"/>
      <protection/>
    </xf>
    <xf numFmtId="4" fontId="0" fillId="0" borderId="65" xfId="20" applyNumberFormat="1" applyFill="1" applyBorder="1" applyAlignment="1">
      <alignment horizontal="right" vertical="center" indent="1"/>
      <protection/>
    </xf>
    <xf numFmtId="0" fontId="123" fillId="0" borderId="0" xfId="0" applyFont="1" applyFill="1"/>
    <xf numFmtId="0" fontId="124" fillId="0" borderId="0" xfId="0" applyFont="1" applyFill="1"/>
    <xf numFmtId="0" fontId="126" fillId="0" borderId="0" xfId="0" applyFont="1" applyFill="1"/>
    <xf numFmtId="0" fontId="125" fillId="0" borderId="0" xfId="0" applyFont="1" applyFill="1"/>
    <xf numFmtId="0" fontId="119" fillId="0" borderId="16" xfId="20" applyFont="1" applyFill="1" applyBorder="1" applyAlignment="1">
      <alignment vertical="center"/>
      <protection/>
    </xf>
    <xf numFmtId="0" fontId="0" fillId="0" borderId="16" xfId="20" applyFill="1" applyBorder="1" applyAlignment="1">
      <alignment vertical="center"/>
      <protection/>
    </xf>
    <xf numFmtId="4" fontId="0" fillId="0" borderId="16" xfId="20" applyNumberFormat="1" applyFill="1" applyBorder="1" applyAlignment="1">
      <alignment horizontal="right" vertical="center" indent="1"/>
      <protection/>
    </xf>
    <xf numFmtId="4" fontId="0" fillId="0" borderId="16" xfId="20" applyNumberFormat="1" applyFont="1" applyFill="1" applyBorder="1" applyAlignment="1">
      <alignment horizontal="center" vertical="center"/>
      <protection/>
    </xf>
    <xf numFmtId="4" fontId="0" fillId="0" borderId="56" xfId="20" applyNumberFormat="1" applyFill="1" applyBorder="1" applyAlignment="1">
      <alignment horizontal="right" vertical="center" indent="1"/>
      <protection/>
    </xf>
    <xf numFmtId="0" fontId="33" fillId="0" borderId="16" xfId="20" applyFont="1" applyFill="1" applyBorder="1" applyAlignment="1">
      <alignment vertical="center"/>
      <protection/>
    </xf>
    <xf numFmtId="0" fontId="17" fillId="0" borderId="16" xfId="20" applyFont="1" applyFill="1" applyBorder="1" applyAlignment="1">
      <alignment vertical="center"/>
      <protection/>
    </xf>
    <xf numFmtId="4" fontId="17" fillId="0" borderId="16" xfId="20" applyNumberFormat="1" applyFont="1" applyFill="1" applyBorder="1" applyAlignment="1">
      <alignment horizontal="right" vertical="center" indent="1"/>
      <protection/>
    </xf>
    <xf numFmtId="4" fontId="17" fillId="0" borderId="16" xfId="20" applyNumberFormat="1" applyFont="1" applyFill="1" applyBorder="1" applyAlignment="1">
      <alignment horizontal="center" vertical="center"/>
      <protection/>
    </xf>
    <xf numFmtId="4" fontId="17" fillId="0" borderId="56" xfId="20" applyNumberFormat="1" applyFont="1" applyFill="1" applyBorder="1" applyAlignment="1">
      <alignment horizontal="right" vertical="center" indent="1"/>
      <protection/>
    </xf>
    <xf numFmtId="165" fontId="34" fillId="0" borderId="0" xfId="20" applyNumberFormat="1" applyFont="1" applyFill="1" applyAlignment="1">
      <alignment horizontal="right" vertical="center" indent="1"/>
      <protection/>
    </xf>
    <xf numFmtId="4" fontId="50" fillId="0" borderId="16" xfId="20" applyNumberFormat="1" applyFont="1" applyFill="1" applyBorder="1" applyAlignment="1">
      <alignment horizontal="right" vertical="center" indent="1"/>
      <protection/>
    </xf>
    <xf numFmtId="49" fontId="88" fillId="0" borderId="14" xfId="279" applyNumberFormat="1" applyFont="1" applyFill="1" applyBorder="1" applyAlignment="1">
      <alignment horizontal="center" vertical="center"/>
      <protection/>
    </xf>
    <xf numFmtId="0" fontId="3" fillId="0" borderId="14" xfId="30" applyFont="1" applyFill="1" applyBorder="1" applyAlignment="1">
      <alignment horizontal="left" vertical="center" wrapText="1"/>
      <protection/>
    </xf>
    <xf numFmtId="0" fontId="14" fillId="0" borderId="0" xfId="0" applyFont="1" applyFill="1"/>
    <xf numFmtId="165" fontId="44" fillId="0" borderId="0" xfId="25" applyNumberFormat="1" applyFont="1" applyFill="1" applyAlignment="1">
      <alignment horizontal="right" vertical="center" indent="1"/>
      <protection/>
    </xf>
    <xf numFmtId="0" fontId="35" fillId="0" borderId="0" xfId="25" applyFill="1" applyAlignment="1">
      <alignment vertical="center"/>
      <protection/>
    </xf>
    <xf numFmtId="4" fontId="35" fillId="0" borderId="0" xfId="25" applyNumberFormat="1" applyFill="1" applyAlignment="1">
      <alignment vertical="center"/>
      <protection/>
    </xf>
    <xf numFmtId="4" fontId="3" fillId="0" borderId="14" xfId="279" applyNumberFormat="1" applyFont="1" applyFill="1" applyBorder="1" applyAlignment="1">
      <alignment horizontal="center" vertical="center"/>
      <protection/>
    </xf>
    <xf numFmtId="164" fontId="3" fillId="0" borderId="0" xfId="279" applyNumberFormat="1" applyFont="1" applyFill="1" applyBorder="1" applyAlignment="1">
      <alignment horizontal="right" vertical="center" indent="1"/>
      <protection/>
    </xf>
    <xf numFmtId="0" fontId="3" fillId="0" borderId="0" xfId="279" applyFont="1" applyFill="1" applyBorder="1" applyAlignment="1">
      <alignment vertical="center"/>
      <protection/>
    </xf>
    <xf numFmtId="4" fontId="3" fillId="0" borderId="16" xfId="20" applyNumberFormat="1" applyFont="1" applyFill="1" applyBorder="1" applyAlignment="1">
      <alignment horizontal="right" vertical="center" indent="1"/>
      <protection/>
    </xf>
    <xf numFmtId="0" fontId="3" fillId="0" borderId="14" xfId="25" applyFont="1" applyFill="1" applyBorder="1" applyAlignment="1">
      <alignment horizontal="left" vertical="center" wrapText="1"/>
      <protection/>
    </xf>
    <xf numFmtId="4" fontId="3" fillId="0" borderId="42" xfId="25" applyNumberFormat="1" applyFont="1" applyFill="1" applyBorder="1" applyAlignment="1">
      <alignment horizontal="center" vertical="center"/>
      <protection/>
    </xf>
    <xf numFmtId="0" fontId="3" fillId="0" borderId="0" xfId="25" applyFont="1" applyFill="1" applyBorder="1" applyAlignment="1">
      <alignment vertical="center"/>
      <protection/>
    </xf>
    <xf numFmtId="49" fontId="9" fillId="0" borderId="0" xfId="20" applyNumberFormat="1" applyFont="1" applyFill="1" applyBorder="1" applyAlignment="1">
      <alignment vertical="center" wrapText="1"/>
      <protection/>
    </xf>
    <xf numFmtId="0" fontId="10" fillId="0" borderId="0" xfId="20" applyFont="1" applyFill="1" applyBorder="1" applyAlignment="1">
      <alignment vertical="center"/>
      <protection/>
    </xf>
    <xf numFmtId="0" fontId="112" fillId="0" borderId="44" xfId="20" applyFont="1" applyBorder="1" applyAlignment="1">
      <alignment horizontal="justify" vertical="center" wrapText="1"/>
      <protection/>
    </xf>
    <xf numFmtId="0" fontId="112" fillId="0" borderId="45" xfId="20" applyFont="1" applyBorder="1" applyAlignment="1">
      <alignment horizontal="justify" vertical="center" wrapText="1"/>
      <protection/>
    </xf>
    <xf numFmtId="0" fontId="97" fillId="0" borderId="0" xfId="20" applyFont="1" applyBorder="1" applyAlignment="1">
      <alignment horizontal="left" wrapText="1"/>
      <protection/>
    </xf>
    <xf numFmtId="0" fontId="97" fillId="0" borderId="11" xfId="20" applyFont="1" applyBorder="1" applyAlignment="1">
      <alignment horizontal="left" wrapText="1"/>
      <protection/>
    </xf>
  </cellXfs>
  <cellStyles count="30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2" xfId="20"/>
    <cellStyle name="normální_Kopie - rozpočet jen VZT" xfId="21"/>
    <cellStyle name="normální_SO 101_Prelozka mestske kanalizace" xfId="22"/>
    <cellStyle name="Styl 1" xfId="23"/>
    <cellStyle name="normální_5463_04_NUC_XX01_FOT_200_Hala17_070405" xfId="24"/>
    <cellStyle name="normální_POL.XLS 2" xfId="25"/>
    <cellStyle name="normální_06_CAT_6NS01D_BQ_hall_101214" xfId="26"/>
    <cellStyle name="normální_POL.XLS_HUSINEC_BQ_121120" xfId="27"/>
    <cellStyle name="normální_GB_TB6A_SANITARY_BQ_071601_Vorac" xfId="28"/>
    <cellStyle name="normální_POL.XLS_PŮDNI VESTAVBA ZŠ_KOSTELNÍ_LHOTA_BQ_111128" xfId="29"/>
    <cellStyle name="normální_SV-IK-cj-en_0504041_6258_DAM_3MOJE_131218" xfId="30"/>
    <cellStyle name="normální_0X_AKCE_XX01_XXX_CAST_070123_Rekonstrukce hotelu_BQ_120331" xfId="31"/>
    <cellStyle name="normální_STAVBA_ROZPOČET_ESET_BQ_130425" xfId="32"/>
    <cellStyle name=" 1" xfId="33"/>
    <cellStyle name="_04_OP_Hala N1_6WX01-05_vod.hosp._080130" xfId="34"/>
    <cellStyle name="_04_SA_LV_6NS01_vod hosp _FOT_var.pro KROSS" xfId="35"/>
    <cellStyle name="_04_STMO_NS01_SO01-SO04_rozpocet_090313" xfId="36"/>
    <cellStyle name="_05_AGC_Bar_SO0708_WX01-02_080328" xfId="37"/>
    <cellStyle name="_05_ALU_6IK01_FOT_komunikace_071219" xfId="38"/>
    <cellStyle name="_05_ALU_6IU01_FOT_HTU_071219" xfId="39"/>
    <cellStyle name="_05_ALU_6SX01_FOT_výr monoblok_071218" xfId="40"/>
    <cellStyle name="_05_ALU_6SX02_FOT_071115_EN" xfId="41"/>
    <cellStyle name="_05_ALU_6WX01-05_FOT_WM_071127" xfId="42"/>
    <cellStyle name="_05_ALU_EW01_ext_22kV_071102" xfId="43"/>
    <cellStyle name="_05_GVB_EW_01_TP7_061207" xfId="44"/>
    <cellStyle name="_05_GVB_EW_01_TP7_061207_04_M13_SHZ_6ZX_SOUPIS VÝKONU_090514" xfId="45"/>
    <cellStyle name="_05_GVB_EY_EV_01_TP7_061201" xfId="46"/>
    <cellStyle name="_05_GVB_EY_EV_01_TP7_061201_04_M13_SHZ_6ZX_SOUPIS VÝKONU_090514" xfId="47"/>
    <cellStyle name="_06_AGC_Bar_WX0102_BQ_oceneni_wat manag _080206" xfId="48"/>
    <cellStyle name="_06_FOX_6EX11_soupis_vykonu_100205_revA" xfId="49"/>
    <cellStyle name="_06_GCZ_BQ_SO_1145" xfId="50"/>
    <cellStyle name="_06_GCZ_BQ_SO_1241_Hruba" xfId="51"/>
    <cellStyle name="_06_GCZ_BQ_SO_1242+1710_Hruba" xfId="52"/>
    <cellStyle name="_06_GCZ_BQ_SO_1510_Hruba" xfId="53"/>
    <cellStyle name="_06_GCZ_BQ_SO_1810_Hruba" xfId="54"/>
    <cellStyle name="_06_GCZ_BQ_SO_WX_061120" xfId="55"/>
    <cellStyle name="_06_GCZ_BQ_SO_WX_061207oceneni" xfId="56"/>
    <cellStyle name="_06_GVB_TP7_NS07_070105_oceneni" xfId="57"/>
    <cellStyle name="_5385_2_IPB_WX_SO 16-19_FOT_070716" xfId="58"/>
    <cellStyle name="_5385_2_IPB_WX_SO 16-19_FOT_070716_04_M13_SHZ_6ZX_SOUPIS VÝKONU_090514" xfId="59"/>
    <cellStyle name="_5411_OP_Infrastruktura_VZOR_080123" xfId="60"/>
    <cellStyle name="_5463_04_NUC_XX01_FOT_200_Hala17_070405" xfId="61"/>
    <cellStyle name="_5463_04_NUC_XX01_FOT_200_Hala17_070405_04_M13_SHZ_6ZX_SOUPIS VÝKONU_090514" xfId="62"/>
    <cellStyle name="_5559_PP_NS_vzor_070913" xfId="63"/>
    <cellStyle name="_5559_PP_NS_vzor_070913_04_M13_SHZ_6ZX_SOUPIS VÝKONU_090514" xfId="64"/>
    <cellStyle name="_5610_05_AGC_Bar_XXXX_FOT_080326" xfId="65"/>
    <cellStyle name="_5610_06_AGC_Bar_XXXX_FOT_000_vzor_080103" xfId="66"/>
    <cellStyle name="_5674 HANWHA CSSV" xfId="67"/>
    <cellStyle name="_5674_HANWHA_kan.splaskova_080619" xfId="68"/>
    <cellStyle name="_5674_HANWHA_odvodn.ploch_080609" xfId="69"/>
    <cellStyle name="_5674_HANWHA_vod.pozarni_FOT_0800609" xfId="70"/>
    <cellStyle name="_5939_ST_06_WX01_04_100901" xfId="71"/>
    <cellStyle name="_5983_HZS_ŠABLONA" xfId="72"/>
    <cellStyle name="_6110_04_HZS_Pardubice_SO 06_111023" xfId="73"/>
    <cellStyle name="_6VX01" xfId="74"/>
    <cellStyle name="_BVG TP 7_Complete_061204" xfId="75"/>
    <cellStyle name="_BVG TP 7_Complete_061204_04_M13_SHZ_6ZX_SOUPIS VÝKONU_090514" xfId="76"/>
    <cellStyle name="_ELEKTRO_01_Components_100505" xfId="77"/>
    <cellStyle name="_F6_BS_SO 01+04_6SX01" xfId="78"/>
    <cellStyle name="_FOXCONN - FoT - SO16.3_060523" xfId="79"/>
    <cellStyle name="_FOXCONN - FoT - SO16.3_060627" xfId="80"/>
    <cellStyle name="_GVB_ TP 7_6-NS07_061206 zm oc" xfId="81"/>
    <cellStyle name="_GVB_ TP 7_6-NS07_061206 zm oc_04_M13_SHZ_6ZX_SOUPIS VÝKONU_090514" xfId="82"/>
    <cellStyle name="_GVB_ TP 7_6-NS07_061207 zm" xfId="83"/>
    <cellStyle name="_GVB_ TP 7_6-NS07_061207 zm_04_M13_SHZ_6ZX_SOUPIS VÝKONU_090514" xfId="84"/>
    <cellStyle name="_GVB_ TP7_6IK01A_BQ_SO1141_070104" xfId="85"/>
    <cellStyle name="_GVB_ TP7_6IK01A_BQ_SO1141_070104_04_M13_SHZ_6ZX_SOUPIS VÝKONU_090514" xfId="86"/>
    <cellStyle name="_GVB_ TP7_NS07_rev 2_070205_ BQ" xfId="87"/>
    <cellStyle name="_GVB_ TP7_NS07_rev 2_070205_ BQ_04_M13_SHZ_6ZX_SOUPIS VÝKONU_090514" xfId="88"/>
    <cellStyle name="_GVB_ TP7_NS07_rev.1_070111ocenění" xfId="89"/>
    <cellStyle name="_GVB_ TP7_NS07_rev.1_070111ocenění_04_M13_SHZ_6ZX_SOUPIS VÝKONU_090514" xfId="90"/>
    <cellStyle name="_GVB_ TP7_NS07_rev.1_070116ocenění" xfId="91"/>
    <cellStyle name="_GVB_ TP7_NS07_rev.1_070116ocenění_04_M13_SHZ_6ZX_SOUPIS VÝKONU_090514" xfId="92"/>
    <cellStyle name="_GVB_TP7_F5_Water Treat.070223_" xfId="93"/>
    <cellStyle name="_GVB_TP7_F5_Water Treat.070223__04_M13_SHZ_6ZX_SOUPIS VÝKONU_090514" xfId="94"/>
    <cellStyle name="_GVB_TP7_F5_Water Treat.070731_" xfId="95"/>
    <cellStyle name="_GVB_TP7_F5_Water Treat.070731__04_M13_SHZ_6ZX_SOUPIS VÝKONU_090514" xfId="96"/>
    <cellStyle name="_GVP_TP 7_stoka DA3_070130 - mp" xfId="97"/>
    <cellStyle name="_H18_SO 11_ rain water drainage_071018" xfId="98"/>
    <cellStyle name="_IO 03.1_ kanalizace splašková_100209" xfId="99"/>
    <cellStyle name="_IO 03.4 Vodovod pitný_100209" xfId="100"/>
    <cellStyle name="_odhad cen_GVB_ TP 7_6-NS07_061207 zm" xfId="101"/>
    <cellStyle name="_odhad cen_GVB_ TP 7_6-NS07_061207 zm_04_M13_SHZ_6ZX_SOUPIS VÝKONU_090514" xfId="102"/>
    <cellStyle name="_odhad nákladů WX" xfId="103"/>
    <cellStyle name="_propočet kubatur šachty" xfId="104"/>
    <cellStyle name="_propočet kubatur šachty prům. 2,24 m" xfId="105"/>
    <cellStyle name="_PW-COV-061205_cz-en" xfId="106"/>
    <cellStyle name="_Rekonstrukce hotelu_BQ_120331" xfId="107"/>
    <cellStyle name="_Rekonstrukce hotelu_BQ_120331 2" xfId="108"/>
    <cellStyle name="_Rekonstrukce hotelu_BQ_120331 2 2" xfId="109"/>
    <cellStyle name="_sablony WX_070424_cz_en" xfId="110"/>
    <cellStyle name="_sablony WX_080414_cz_en" xfId="111"/>
    <cellStyle name="_SO 03_ Hala N1_kan.dest" xfId="112"/>
    <cellStyle name="_SO 03_ kanalizace splašková_100816" xfId="113"/>
    <cellStyle name="_SO 03_kanalizacni pripojky_090223" xfId="114"/>
    <cellStyle name="_SO 03_retenční nádrž" xfId="115"/>
    <cellStyle name="_SO 03_Vytlak SV_090331" xfId="116"/>
    <cellStyle name="_SO 04_ Hala E_kanaliz. splas" xfId="117"/>
    <cellStyle name="_SO 05 vodovod pitny_100913" xfId="118"/>
    <cellStyle name="_SO 05_F6_rain wat drain.060531" xfId="119"/>
    <cellStyle name="_SO 05_F6_rain wat drain.060531_04_M13_SHZ_6ZX_SOUPIS VÝKONU_090514" xfId="120"/>
    <cellStyle name="_SO 10.1 Vodovod pitný_071123" xfId="121"/>
    <cellStyle name="_SO 10.2_požární vodovod_071122" xfId="122"/>
    <cellStyle name="_SO 10.3_kanalizace splašková_071123" xfId="123"/>
    <cellStyle name="_SO 10.4_ rain water drainage_071108" xfId="124"/>
    <cellStyle name="_SO 10.4_ rain water drainage_071123" xfId="125"/>
    <cellStyle name="_SO 102_Prelozka nahonu ricni vody" xfId="126"/>
    <cellStyle name="_SO 107_ Uprava destove kanalizace" xfId="127"/>
    <cellStyle name="_SO 11_ rain water drainage_070424" xfId="128"/>
    <cellStyle name="_SO 11_ rain water drainage_080211" xfId="129"/>
    <cellStyle name="_SO 14 vodovod pitný_080212" xfId="130"/>
    <cellStyle name="_SO 15_fire water pipeline_070413" xfId="131"/>
    <cellStyle name="_SO 15_Vodovod pitny_081013" xfId="132"/>
    <cellStyle name="_SO 16_6VX01_vzduchotechnika" xfId="133"/>
    <cellStyle name="_SO 17_ přípojka splašk.kanalizace" xfId="134"/>
    <cellStyle name="_SO 17_kanalizace splašková_080929" xfId="135"/>
    <cellStyle name="_SO 18_ příp. dešť.kan._zmeny 070820" xfId="136"/>
    <cellStyle name="_SO 18_ přípojka dešť.kanalizace" xfId="137"/>
    <cellStyle name="_SO 20 Rozvod pitné vody v areálu" xfId="138"/>
    <cellStyle name="_SO 201 2_PS_Demivoda_PS_ CPSOV_100416_Opravené" xfId="139"/>
    <cellStyle name="_SO 21_kanalizace splašková_070807" xfId="140"/>
    <cellStyle name="_SO 22_ kanalizace destova v arealu" xfId="141"/>
    <cellStyle name="_SO 22_ kanalizace destova v arealu_04_M13_SHZ_6ZX_SOUPIS VÝKONU_090514" xfId="142"/>
    <cellStyle name="_SO 23 retencni nadrž" xfId="143"/>
    <cellStyle name="_SO 35 Zasakovací RDN" xfId="144"/>
    <cellStyle name="_SO 363_fire water supply_rev.1_070116" xfId="145"/>
    <cellStyle name="_SO 399.1,2_sewerage" xfId="146"/>
    <cellStyle name="_SO 399.1,2_sewerage_F5_070221" xfId="147"/>
    <cellStyle name="_SO 399.1,2_sewerage_F5_zmeny k 070730" xfId="148"/>
    <cellStyle name="_SO 399.1,2_sewerage_rev.1_070108" xfId="149"/>
    <cellStyle name="_SO 399.3 Roads of drainage_rev.1_070111" xfId="150"/>
    <cellStyle name="_SO 399.3 Roads of drainage_zmeny k_070731" xfId="151"/>
    <cellStyle name="_SO_1124_Retention pond_zmena_B_ 070202" xfId="152"/>
    <cellStyle name="_TI_SO 01_060301_cz_en" xfId="153"/>
    <cellStyle name="_TI_SO 01_060301_cz_en_04_M13_SHZ_6ZX_SOUPIS VÝKONU_090514" xfId="154"/>
    <cellStyle name="_ZF Engineering 1.NP_VV" xfId="155"/>
    <cellStyle name="_ZF Engineering 2.NP_VV" xfId="156"/>
    <cellStyle name="_ZF Engineering 7.NP_VV" xfId="157"/>
    <cellStyle name="20 % - zvýraznenie1" xfId="158"/>
    <cellStyle name="20 % - zvýraznenie2" xfId="159"/>
    <cellStyle name="20 % - zvýraznenie3" xfId="160"/>
    <cellStyle name="20 % - zvýraznenie4" xfId="161"/>
    <cellStyle name="20 % - zvýraznenie5" xfId="162"/>
    <cellStyle name="20 % - zvýraznenie6" xfId="163"/>
    <cellStyle name="20% - Accent1" xfId="164"/>
    <cellStyle name="20% - Accent2" xfId="165"/>
    <cellStyle name="20% - Accent3" xfId="166"/>
    <cellStyle name="20% - Accent4" xfId="167"/>
    <cellStyle name="20% - Accent5" xfId="168"/>
    <cellStyle name="20% - Accent6" xfId="169"/>
    <cellStyle name="40 % - zvýraznenie1" xfId="170"/>
    <cellStyle name="40 % - zvýraznenie2" xfId="171"/>
    <cellStyle name="40 % - zvýraznenie3" xfId="172"/>
    <cellStyle name="40 % - zvýraznenie4" xfId="173"/>
    <cellStyle name="40 % - zvýraznenie5" xfId="174"/>
    <cellStyle name="40 % - zvýraznenie6" xfId="175"/>
    <cellStyle name="40% - Accent1" xfId="176"/>
    <cellStyle name="40% - Accent2" xfId="177"/>
    <cellStyle name="40% - Accent3" xfId="178"/>
    <cellStyle name="40% - Accent4" xfId="179"/>
    <cellStyle name="40% - Accent5" xfId="180"/>
    <cellStyle name="40% - Accent6" xfId="181"/>
    <cellStyle name="60 % - zvýraznenie1" xfId="182"/>
    <cellStyle name="60 % - zvýraznenie2" xfId="183"/>
    <cellStyle name="60 % - zvýraznenie3" xfId="184"/>
    <cellStyle name="60 % - zvýraznenie4" xfId="185"/>
    <cellStyle name="60 % - zvýraznenie5" xfId="186"/>
    <cellStyle name="60 % - zvýraznenie6" xfId="187"/>
    <cellStyle name="60% - Accent1" xfId="188"/>
    <cellStyle name="60% - Accent2" xfId="189"/>
    <cellStyle name="60% - Accent3" xfId="190"/>
    <cellStyle name="60% - Accent4" xfId="191"/>
    <cellStyle name="60% - Accent5" xfId="192"/>
    <cellStyle name="60% - Accent6" xfId="193"/>
    <cellStyle name="Accent1" xfId="194"/>
    <cellStyle name="Accent2" xfId="195"/>
    <cellStyle name="Accent3" xfId="196"/>
    <cellStyle name="Accent4" xfId="197"/>
    <cellStyle name="Accent5" xfId="198"/>
    <cellStyle name="Accent6" xfId="199"/>
    <cellStyle name="Bad" xfId="200"/>
    <cellStyle name="Calculation" xfId="201"/>
    <cellStyle name="Comma [0]_3-Projekt" xfId="202"/>
    <cellStyle name="Comma_3-Projekt" xfId="203"/>
    <cellStyle name="Currency [0]_3-Projekt" xfId="204"/>
    <cellStyle name="Currency_3-Projekt" xfId="205"/>
    <cellStyle name="Dobrá" xfId="206"/>
    <cellStyle name="Excel Built-in Normal" xfId="207"/>
    <cellStyle name="Excel_BuiltIn_Poznámka 1" xfId="208"/>
    <cellStyle name="Explanatory Text" xfId="209"/>
    <cellStyle name="fnRegressQ" xfId="210"/>
    <cellStyle name="fnRegressQ 2" xfId="211"/>
    <cellStyle name="fnRegressQ 2 2" xfId="212"/>
    <cellStyle name="fnRegressQ_05_ERA_SO02_02_IK_BQ_140910" xfId="213"/>
    <cellStyle name="Good" xfId="214"/>
    <cellStyle name="Heading 1" xfId="215"/>
    <cellStyle name="Heading 2" xfId="216"/>
    <cellStyle name="Heading 3" xfId="217"/>
    <cellStyle name="Heading 4" xfId="218"/>
    <cellStyle name="hlavicka" xfId="219"/>
    <cellStyle name="hlavickatucne" xfId="220"/>
    <cellStyle name="hlavickatucnecentrum" xfId="221"/>
    <cellStyle name="Check Cell" xfId="222"/>
    <cellStyle name="Input" xfId="223"/>
    <cellStyle name="kolonky" xfId="224"/>
    <cellStyle name="Kontrolná bunka" xfId="225"/>
    <cellStyle name="Linked Cell" xfId="226"/>
    <cellStyle name="Neutral" xfId="227"/>
    <cellStyle name="Neutrálna" xfId="228"/>
    <cellStyle name="Normal_10" xfId="229"/>
    <cellStyle name="normálne 2" xfId="230"/>
    <cellStyle name="normálne 2 2" xfId="231"/>
    <cellStyle name="normálne 3" xfId="232"/>
    <cellStyle name="normálne 3 2" xfId="233"/>
    <cellStyle name="normálne 4" xfId="234"/>
    <cellStyle name="normálne 4 2" xfId="235"/>
    <cellStyle name="normálne 5" xfId="236"/>
    <cellStyle name="normálne 5 2" xfId="237"/>
    <cellStyle name="normálne 6" xfId="238"/>
    <cellStyle name="normálne 6 2" xfId="239"/>
    <cellStyle name="normální 10" xfId="240"/>
    <cellStyle name="normální 11" xfId="241"/>
    <cellStyle name="normální 13" xfId="242"/>
    <cellStyle name="normální 14" xfId="243"/>
    <cellStyle name="Normální 15" xfId="244"/>
    <cellStyle name="normální 2" xfId="245"/>
    <cellStyle name="normální 2 2" xfId="246"/>
    <cellStyle name="normální 2 2 10" xfId="247"/>
    <cellStyle name="normální 2 2 10 2" xfId="248"/>
    <cellStyle name="normální 2 2 2" xfId="249"/>
    <cellStyle name="normální 2 2 2 2" xfId="250"/>
    <cellStyle name="normální 2 2_05_ERA_SO02_02_IK_BQ_140910" xfId="251"/>
    <cellStyle name="normální 2 3 2 2" xfId="252"/>
    <cellStyle name="normální 2 3 2 2 2" xfId="253"/>
    <cellStyle name="normální 2_05_ERA_SO02_02_IK_BQ_140910" xfId="254"/>
    <cellStyle name="normální 3" xfId="255"/>
    <cellStyle name="normální 3 2" xfId="256"/>
    <cellStyle name="normální 3 2 2" xfId="257"/>
    <cellStyle name="normální 3 2 2 2" xfId="258"/>
    <cellStyle name="normální 3 2 3" xfId="259"/>
    <cellStyle name="normální 3 2_6258_SO07_SO10_SO11_vodari_131217" xfId="260"/>
    <cellStyle name="normální 3 3" xfId="261"/>
    <cellStyle name="normální 3 3 2" xfId="262"/>
    <cellStyle name="normální 3 4" xfId="263"/>
    <cellStyle name="normální 3_05_SO16_6NS002C_140318" xfId="264"/>
    <cellStyle name="normální 4" xfId="265"/>
    <cellStyle name="normální 4 2" xfId="266"/>
    <cellStyle name="normální 4 3" xfId="267"/>
    <cellStyle name="normální 4 4" xfId="268"/>
    <cellStyle name="normální 4_05_ERA_SO02_02_IK_BQ_140910" xfId="269"/>
    <cellStyle name="normální 5" xfId="270"/>
    <cellStyle name="normální 6" xfId="271"/>
    <cellStyle name="normální 6 2" xfId="272"/>
    <cellStyle name="normální 6_05_SO16_6NS002C_140318" xfId="273"/>
    <cellStyle name="normální 7" xfId="274"/>
    <cellStyle name="normální 8" xfId="275"/>
    <cellStyle name="normální 9" xfId="276"/>
    <cellStyle name="normální_06_CAT_6NS01D_BQ_hall_101214 2" xfId="277"/>
    <cellStyle name="normální_6WX01" xfId="278"/>
    <cellStyle name="normální_POL.XLS" xfId="279"/>
    <cellStyle name="Note" xfId="280"/>
    <cellStyle name="Note 2" xfId="281"/>
    <cellStyle name="Output" xfId="282"/>
    <cellStyle name="podpolozka" xfId="283"/>
    <cellStyle name="políčka" xfId="284"/>
    <cellStyle name="popis polozky" xfId="285"/>
    <cellStyle name="Prepojená bunka" xfId="286"/>
    <cellStyle name="procent 3" xfId="287"/>
    <cellStyle name="Spolu" xfId="288"/>
    <cellStyle name="Standard_--&gt;2-1" xfId="289"/>
    <cellStyle name="Styl 1 4" xfId="290"/>
    <cellStyle name="Styl 1_STAVBA_ROZPOČET_ESET_BQ_130425" xfId="291"/>
    <cellStyle name="Style 1" xfId="292"/>
    <cellStyle name="Štýl 1" xfId="293"/>
    <cellStyle name="text" xfId="294"/>
    <cellStyle name="Text upozornenia" xfId="295"/>
    <cellStyle name="textcentrum" xfId="296"/>
    <cellStyle name="texttucne" xfId="297"/>
    <cellStyle name="Title" xfId="298"/>
    <cellStyle name="Titul" xfId="299"/>
    <cellStyle name="Total" xfId="300"/>
    <cellStyle name="TucneGrayBack" xfId="301"/>
    <cellStyle name="TucneGreenBack" xfId="302"/>
    <cellStyle name="Vysvetľujúci text" xfId="303"/>
    <cellStyle name="Warning Text" xfId="304"/>
    <cellStyle name="Zlá" xfId="305"/>
    <cellStyle name="Zvýraznenie1" xfId="306"/>
    <cellStyle name="Zvýraznenie2" xfId="307"/>
    <cellStyle name="Zvýraznenie3" xfId="308"/>
    <cellStyle name="Zvýraznenie4" xfId="309"/>
    <cellStyle name="Zvýraznenie5" xfId="310"/>
    <cellStyle name="Zvýraznenie6" xfId="311"/>
    <cellStyle name="標準 12 2" xfId="312"/>
    <cellStyle name="標準 12 2 2" xfId="313"/>
    <cellStyle name="標準_031007Drawing schedule" xfId="3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S113"/>
  <sheetViews>
    <sheetView showGridLines="0" view="pageBreakPreview" zoomScaleSheetLayoutView="100" workbookViewId="0" topLeftCell="A1">
      <selection activeCell="F5" sqref="F5"/>
    </sheetView>
  </sheetViews>
  <sheetFormatPr defaultColWidth="9.140625" defaultRowHeight="12.75"/>
  <cols>
    <col min="1" max="1" width="13.7109375" style="604" customWidth="1"/>
    <col min="2" max="2" width="69.28125" style="604" customWidth="1"/>
    <col min="3" max="3" width="14.57421875" style="161" customWidth="1"/>
    <col min="4" max="4" width="18.57421875" style="161" customWidth="1"/>
    <col min="5" max="5" width="18.140625" style="611" customWidth="1"/>
    <col min="6" max="6" width="26.7109375" style="612" customWidth="1"/>
    <col min="7" max="7" width="19.7109375" style="609" customWidth="1"/>
    <col min="8" max="8" width="16.28125" style="162" customWidth="1"/>
    <col min="9" max="16384" width="9.140625" style="161" customWidth="1"/>
  </cols>
  <sheetData>
    <row r="1" spans="1:19" s="156" customFormat="1" ht="46.5" customHeight="1">
      <c r="A1" s="152" t="s">
        <v>0</v>
      </c>
      <c r="B1" s="504" t="s">
        <v>167</v>
      </c>
      <c r="C1" s="153"/>
      <c r="D1" s="154" t="s">
        <v>1</v>
      </c>
      <c r="E1" s="505"/>
      <c r="F1" s="506"/>
      <c r="G1" s="506"/>
      <c r="H1" s="507"/>
      <c r="I1" s="508"/>
      <c r="J1" s="509"/>
      <c r="K1" s="510"/>
      <c r="L1" s="511"/>
      <c r="M1" s="511"/>
      <c r="N1" s="511"/>
      <c r="O1" s="512"/>
      <c r="P1" s="512"/>
      <c r="Q1" s="512"/>
      <c r="R1" s="512"/>
      <c r="S1" s="512"/>
    </row>
    <row r="2" spans="1:19" ht="49.5" customHeight="1">
      <c r="A2" s="158" t="s">
        <v>2</v>
      </c>
      <c r="B2" s="616" t="s">
        <v>168</v>
      </c>
      <c r="C2" s="159"/>
      <c r="D2" s="160" t="s">
        <v>3</v>
      </c>
      <c r="E2" s="513"/>
      <c r="F2" s="514"/>
      <c r="G2" s="514"/>
      <c r="H2" s="515"/>
      <c r="I2" s="516"/>
      <c r="J2" s="517"/>
      <c r="K2" s="518"/>
      <c r="L2" s="519"/>
      <c r="M2" s="519"/>
      <c r="N2" s="519"/>
      <c r="O2" s="520"/>
      <c r="P2" s="520"/>
      <c r="Q2" s="520"/>
      <c r="R2" s="520"/>
      <c r="S2" s="520"/>
    </row>
    <row r="3" spans="1:19" s="163" customFormat="1" ht="51" customHeight="1">
      <c r="A3" s="158" t="s">
        <v>4</v>
      </c>
      <c r="B3" s="728" t="s">
        <v>246</v>
      </c>
      <c r="C3" s="729"/>
      <c r="D3" s="1" t="s">
        <v>226</v>
      </c>
      <c r="E3" s="521"/>
      <c r="F3" s="522" t="s">
        <v>149</v>
      </c>
      <c r="G3" s="523"/>
      <c r="H3" s="524"/>
      <c r="I3" s="525"/>
      <c r="J3" s="509"/>
      <c r="K3" s="510"/>
      <c r="L3" s="526"/>
      <c r="M3" s="526"/>
      <c r="N3" s="526"/>
      <c r="O3" s="527"/>
      <c r="P3" s="527"/>
      <c r="Q3" s="527"/>
      <c r="R3" s="527"/>
      <c r="S3" s="527"/>
    </row>
    <row r="4" spans="1:7" ht="30" customHeight="1" thickBot="1">
      <c r="A4" s="528"/>
      <c r="B4" s="529" t="s">
        <v>150</v>
      </c>
      <c r="C4" s="530"/>
      <c r="D4" s="531"/>
      <c r="E4" s="521"/>
      <c r="F4" s="161"/>
      <c r="G4" s="161"/>
    </row>
    <row r="5" spans="1:8" s="537" customFormat="1" ht="33" customHeight="1" thickBot="1">
      <c r="A5" s="532" t="s">
        <v>151</v>
      </c>
      <c r="B5" s="533" t="s">
        <v>152</v>
      </c>
      <c r="C5" s="534" t="s">
        <v>153</v>
      </c>
      <c r="D5" s="535" t="s">
        <v>154</v>
      </c>
      <c r="E5" s="536"/>
      <c r="H5" s="538"/>
    </row>
    <row r="6" spans="1:8" s="537" customFormat="1" ht="18" customHeight="1" thickBot="1" thickTop="1">
      <c r="A6" s="539"/>
      <c r="B6" s="540"/>
      <c r="C6" s="541"/>
      <c r="D6" s="542"/>
      <c r="E6" s="543"/>
      <c r="F6" s="544"/>
      <c r="H6" s="538"/>
    </row>
    <row r="7" spans="1:8" s="280" customFormat="1" ht="23.25" customHeight="1" thickBot="1">
      <c r="A7" s="545"/>
      <c r="B7" s="546"/>
      <c r="C7" s="547"/>
      <c r="D7" s="548"/>
      <c r="E7" s="549"/>
      <c r="F7" s="550"/>
      <c r="H7" s="281"/>
    </row>
    <row r="8" spans="1:8" s="241" customFormat="1" ht="26.25" customHeight="1">
      <c r="A8" s="452"/>
      <c r="B8" s="430" t="str">
        <f>lekarna_SA!$C$3</f>
        <v>Rekonstrukce lékárny</v>
      </c>
      <c r="C8" s="553"/>
      <c r="D8" s="463">
        <f>lekarna_SA!G39</f>
        <v>0</v>
      </c>
      <c r="E8" s="434"/>
      <c r="F8" s="435"/>
      <c r="H8" s="242"/>
    </row>
    <row r="9" spans="1:8" s="241" customFormat="1" ht="18" customHeight="1" thickBot="1">
      <c r="A9" s="452"/>
      <c r="B9" s="462"/>
      <c r="C9" s="615"/>
      <c r="D9" s="463"/>
      <c r="E9" s="434"/>
      <c r="F9" s="435"/>
      <c r="H9" s="242"/>
    </row>
    <row r="10" spans="1:14" s="280" customFormat="1" ht="18" customHeight="1" thickBot="1">
      <c r="A10" s="545"/>
      <c r="B10" s="546" t="s">
        <v>155</v>
      </c>
      <c r="C10" s="554"/>
      <c r="D10" s="555">
        <f>SUBTOTAL(9,D8:D9)</f>
        <v>0</v>
      </c>
      <c r="E10" s="549"/>
      <c r="F10" s="550"/>
      <c r="G10" s="556"/>
      <c r="H10" s="157"/>
      <c r="I10" s="156"/>
      <c r="J10" s="156"/>
      <c r="K10" s="156"/>
      <c r="L10" s="156"/>
      <c r="M10" s="156"/>
      <c r="N10" s="156"/>
    </row>
    <row r="11" spans="1:8" s="156" customFormat="1" ht="12.75">
      <c r="A11" s="557"/>
      <c r="B11" s="558"/>
      <c r="C11" s="559"/>
      <c r="D11" s="451"/>
      <c r="E11" s="560"/>
      <c r="F11" s="561"/>
      <c r="G11" s="556"/>
      <c r="H11" s="157"/>
    </row>
    <row r="12" spans="1:8" s="231" customFormat="1" ht="16.5" customHeight="1">
      <c r="A12" s="562"/>
      <c r="B12" s="430" t="s">
        <v>156</v>
      </c>
      <c r="C12" s="563"/>
      <c r="D12" s="455"/>
      <c r="E12" s="431"/>
      <c r="F12" s="432"/>
      <c r="G12" s="433"/>
      <c r="H12" s="232"/>
    </row>
    <row r="13" spans="1:8" s="231" customFormat="1" ht="16.5" customHeight="1">
      <c r="A13" s="562"/>
      <c r="B13" s="430" t="s">
        <v>157</v>
      </c>
      <c r="C13" s="563"/>
      <c r="D13" s="455"/>
      <c r="E13" s="431"/>
      <c r="F13" s="432"/>
      <c r="G13" s="433"/>
      <c r="H13" s="232"/>
    </row>
    <row r="14" spans="1:8" s="231" customFormat="1" ht="35.25" customHeight="1">
      <c r="A14" s="562"/>
      <c r="B14" s="430" t="s">
        <v>114</v>
      </c>
      <c r="C14" s="563"/>
      <c r="D14" s="455"/>
      <c r="E14" s="431"/>
      <c r="F14" s="432"/>
      <c r="G14" s="433"/>
      <c r="H14" s="232"/>
    </row>
    <row r="15" spans="1:8" s="156" customFormat="1" ht="18" customHeight="1">
      <c r="A15" s="564"/>
      <c r="B15" s="565"/>
      <c r="C15" s="566"/>
      <c r="D15" s="429"/>
      <c r="E15" s="560"/>
      <c r="F15" s="561"/>
      <c r="G15" s="567"/>
      <c r="H15" s="157"/>
    </row>
    <row r="16" spans="1:10" s="280" customFormat="1" ht="12.75">
      <c r="A16" s="568"/>
      <c r="B16" s="569" t="s">
        <v>158</v>
      </c>
      <c r="C16" s="570"/>
      <c r="D16" s="571">
        <f>SUM(D11:D14)</f>
        <v>0</v>
      </c>
      <c r="E16" s="549"/>
      <c r="F16" s="550"/>
      <c r="H16" s="162"/>
      <c r="I16" s="161"/>
      <c r="J16" s="161"/>
    </row>
    <row r="17" spans="1:10" s="156" customFormat="1" ht="18" customHeight="1">
      <c r="A17" s="564"/>
      <c r="B17" s="565"/>
      <c r="C17" s="220"/>
      <c r="D17" s="429"/>
      <c r="E17" s="560"/>
      <c r="F17" s="561"/>
      <c r="G17" s="161"/>
      <c r="H17" s="162"/>
      <c r="I17" s="161"/>
      <c r="J17" s="161"/>
    </row>
    <row r="18" spans="1:10" s="280" customFormat="1" ht="12.75">
      <c r="A18" s="572"/>
      <c r="B18" s="573" t="s">
        <v>159</v>
      </c>
      <c r="C18" s="574"/>
      <c r="D18" s="575">
        <f>D10+D16</f>
        <v>0</v>
      </c>
      <c r="E18" s="549"/>
      <c r="F18" s="550"/>
      <c r="G18" s="161"/>
      <c r="H18" s="162"/>
      <c r="I18" s="161"/>
      <c r="J18" s="161"/>
    </row>
    <row r="19" spans="1:10" s="156" customFormat="1" ht="18" customHeight="1">
      <c r="A19" s="564"/>
      <c r="B19" s="565"/>
      <c r="C19" s="220"/>
      <c r="D19" s="429"/>
      <c r="E19" s="560"/>
      <c r="F19" s="561"/>
      <c r="G19" s="161"/>
      <c r="H19" s="162"/>
      <c r="I19" s="161"/>
      <c r="J19" s="161"/>
    </row>
    <row r="20" spans="1:14" s="280" customFormat="1" ht="12.75">
      <c r="A20" s="576"/>
      <c r="B20" s="577" t="s">
        <v>160</v>
      </c>
      <c r="C20" s="578"/>
      <c r="D20" s="579">
        <f>D18*0.21</f>
        <v>0</v>
      </c>
      <c r="E20" s="549"/>
      <c r="F20" s="550"/>
      <c r="H20" s="162"/>
      <c r="I20" s="161"/>
      <c r="J20" s="161"/>
      <c r="K20" s="161"/>
      <c r="L20" s="161"/>
      <c r="M20" s="161"/>
      <c r="N20" s="161"/>
    </row>
    <row r="21" spans="1:14" s="156" customFormat="1" ht="18" customHeight="1">
      <c r="A21" s="564"/>
      <c r="B21" s="565"/>
      <c r="C21" s="580"/>
      <c r="D21" s="429"/>
      <c r="E21" s="560"/>
      <c r="F21" s="581"/>
      <c r="H21" s="162"/>
      <c r="I21" s="161"/>
      <c r="J21" s="161"/>
      <c r="K21" s="161"/>
      <c r="L21" s="161"/>
      <c r="M21" s="161"/>
      <c r="N21" s="161"/>
    </row>
    <row r="22" spans="1:14" s="280" customFormat="1" ht="18" customHeight="1">
      <c r="A22" s="582"/>
      <c r="B22" s="583" t="s">
        <v>161</v>
      </c>
      <c r="C22" s="584"/>
      <c r="D22" s="585">
        <f>D18+D20</f>
        <v>0</v>
      </c>
      <c r="E22" s="549"/>
      <c r="F22" s="550"/>
      <c r="H22" s="162"/>
      <c r="I22" s="161"/>
      <c r="J22" s="161"/>
      <c r="K22" s="161"/>
      <c r="L22" s="161"/>
      <c r="M22" s="161"/>
      <c r="N22" s="161"/>
    </row>
    <row r="23" spans="1:14" s="156" customFormat="1" ht="18" customHeight="1" thickBot="1">
      <c r="A23" s="586"/>
      <c r="B23" s="430"/>
      <c r="C23" s="563"/>
      <c r="D23" s="455"/>
      <c r="E23" s="560"/>
      <c r="F23" s="561"/>
      <c r="H23" s="157"/>
      <c r="J23" s="161"/>
      <c r="K23" s="161"/>
      <c r="L23" s="161"/>
      <c r="M23" s="161"/>
      <c r="N23" s="161"/>
    </row>
    <row r="24" spans="1:14" s="156" customFormat="1" ht="13.5" thickBot="1">
      <c r="A24" s="587"/>
      <c r="B24" s="588"/>
      <c r="C24" s="588"/>
      <c r="D24" s="589"/>
      <c r="E24" s="560"/>
      <c r="F24" s="561"/>
      <c r="H24" s="157"/>
      <c r="J24" s="161"/>
      <c r="K24" s="161"/>
      <c r="L24" s="161"/>
      <c r="M24" s="161"/>
      <c r="N24" s="161"/>
    </row>
    <row r="25" spans="1:14" s="156" customFormat="1" ht="26.25" customHeight="1">
      <c r="A25" s="590"/>
      <c r="B25" s="730"/>
      <c r="C25" s="730"/>
      <c r="D25" s="731"/>
      <c r="E25" s="560"/>
      <c r="F25" s="561"/>
      <c r="H25" s="162"/>
      <c r="I25" s="161"/>
      <c r="J25" s="161"/>
      <c r="K25" s="161"/>
      <c r="L25" s="161"/>
      <c r="M25" s="161"/>
      <c r="N25" s="161"/>
    </row>
    <row r="26" spans="1:14" s="156" customFormat="1" ht="24" customHeight="1">
      <c r="A26" s="591"/>
      <c r="B26" s="732"/>
      <c r="C26" s="732"/>
      <c r="D26" s="733"/>
      <c r="E26" s="560"/>
      <c r="F26" s="561"/>
      <c r="H26" s="162"/>
      <c r="I26" s="161"/>
      <c r="J26" s="161"/>
      <c r="K26" s="161"/>
      <c r="L26" s="161"/>
      <c r="M26" s="161"/>
      <c r="N26" s="161"/>
    </row>
    <row r="27" spans="1:14" s="156" customFormat="1" ht="36" customHeight="1" thickBot="1">
      <c r="A27" s="591"/>
      <c r="B27" s="592"/>
      <c r="C27" s="593"/>
      <c r="D27" s="594"/>
      <c r="E27" s="560"/>
      <c r="F27" s="561"/>
      <c r="H27" s="162"/>
      <c r="I27" s="161"/>
      <c r="J27" s="161"/>
      <c r="K27" s="161"/>
      <c r="L27" s="161"/>
      <c r="M27" s="161"/>
      <c r="N27" s="161"/>
    </row>
    <row r="28" spans="1:14" s="156" customFormat="1" ht="34.5" customHeight="1">
      <c r="A28" s="591"/>
      <c r="B28" s="595" t="s">
        <v>162</v>
      </c>
      <c r="C28" s="596"/>
      <c r="D28" s="597"/>
      <c r="E28" s="560"/>
      <c r="F28" s="561"/>
      <c r="H28" s="162"/>
      <c r="I28" s="161"/>
      <c r="J28" s="161"/>
      <c r="K28" s="161"/>
      <c r="L28" s="161"/>
      <c r="M28" s="161"/>
      <c r="N28" s="161"/>
    </row>
    <row r="29" spans="1:14" s="156" customFormat="1" ht="17.45" customHeight="1">
      <c r="A29" s="591"/>
      <c r="B29" s="595" t="s">
        <v>163</v>
      </c>
      <c r="C29" s="598"/>
      <c r="D29" s="599"/>
      <c r="E29" s="560"/>
      <c r="F29" s="561"/>
      <c r="H29" s="162"/>
      <c r="I29" s="161"/>
      <c r="J29" s="161"/>
      <c r="K29" s="161"/>
      <c r="L29" s="161"/>
      <c r="M29" s="161"/>
      <c r="N29" s="161"/>
    </row>
    <row r="30" spans="1:14" s="156" customFormat="1" ht="17.45" customHeight="1">
      <c r="A30" s="591"/>
      <c r="B30" s="595" t="s">
        <v>164</v>
      </c>
      <c r="C30" s="598"/>
      <c r="D30" s="599"/>
      <c r="E30" s="560"/>
      <c r="F30" s="561"/>
      <c r="H30" s="162"/>
      <c r="I30" s="161"/>
      <c r="J30" s="161"/>
      <c r="K30" s="161"/>
      <c r="L30" s="161"/>
      <c r="M30" s="161"/>
      <c r="N30" s="161"/>
    </row>
    <row r="31" spans="1:14" s="156" customFormat="1" ht="17.45" customHeight="1" thickBot="1">
      <c r="A31" s="600"/>
      <c r="B31" s="601" t="s">
        <v>165</v>
      </c>
      <c r="C31" s="602" t="s">
        <v>166</v>
      </c>
      <c r="D31" s="603"/>
      <c r="E31" s="560"/>
      <c r="F31" s="561"/>
      <c r="H31" s="162"/>
      <c r="I31" s="161"/>
      <c r="J31" s="161"/>
      <c r="K31" s="161"/>
      <c r="L31" s="161"/>
      <c r="M31" s="161"/>
      <c r="N31" s="161"/>
    </row>
    <row r="32" spans="2:7" ht="12.75">
      <c r="B32" s="605"/>
      <c r="C32" s="606"/>
      <c r="D32" s="607"/>
      <c r="E32" s="608"/>
      <c r="F32" s="609"/>
      <c r="G32" s="161"/>
    </row>
    <row r="33" spans="2:7" ht="18" customHeight="1">
      <c r="B33" s="161"/>
      <c r="C33" s="606"/>
      <c r="D33" s="607"/>
      <c r="E33" s="608"/>
      <c r="F33" s="609"/>
      <c r="G33" s="161"/>
    </row>
    <row r="34" spans="2:7" ht="12.75">
      <c r="B34" s="161"/>
      <c r="C34" s="610"/>
      <c r="D34" s="162"/>
      <c r="E34" s="608"/>
      <c r="F34" s="609"/>
      <c r="G34" s="161"/>
    </row>
    <row r="35" spans="2:7" ht="18" customHeight="1">
      <c r="B35" s="161"/>
      <c r="C35" s="610"/>
      <c r="D35" s="162"/>
      <c r="E35" s="608"/>
      <c r="F35" s="609"/>
      <c r="G35" s="161"/>
    </row>
    <row r="36" spans="2:7" ht="12.75">
      <c r="B36" s="161"/>
      <c r="C36" s="610"/>
      <c r="D36" s="162"/>
      <c r="E36" s="608"/>
      <c r="F36" s="609"/>
      <c r="G36" s="161"/>
    </row>
    <row r="37" spans="2:7" ht="18" customHeight="1">
      <c r="B37" s="161"/>
      <c r="C37" s="610"/>
      <c r="D37" s="162"/>
      <c r="E37" s="608"/>
      <c r="F37" s="609"/>
      <c r="G37" s="161"/>
    </row>
    <row r="38" spans="2:7" ht="12.75">
      <c r="B38" s="161"/>
      <c r="C38" s="610"/>
      <c r="D38" s="162"/>
      <c r="E38" s="608"/>
      <c r="F38" s="609"/>
      <c r="G38" s="161"/>
    </row>
    <row r="39" spans="2:7" ht="18" customHeight="1">
      <c r="B39" s="161"/>
      <c r="C39" s="610"/>
      <c r="D39" s="162"/>
      <c r="E39" s="608"/>
      <c r="F39" s="609"/>
      <c r="G39" s="161"/>
    </row>
    <row r="40" spans="2:7" ht="12.75">
      <c r="B40" s="161"/>
      <c r="C40" s="610"/>
      <c r="D40" s="162"/>
      <c r="E40" s="608"/>
      <c r="F40" s="609"/>
      <c r="G40" s="161"/>
    </row>
    <row r="41" spans="2:7" ht="18" customHeight="1">
      <c r="B41" s="161"/>
      <c r="C41" s="610"/>
      <c r="D41" s="162"/>
      <c r="E41" s="608"/>
      <c r="F41" s="609"/>
      <c r="G41" s="161"/>
    </row>
    <row r="42" spans="2:7" ht="12.75">
      <c r="B42" s="161"/>
      <c r="C42" s="610"/>
      <c r="D42" s="162"/>
      <c r="E42" s="608"/>
      <c r="F42" s="609"/>
      <c r="G42" s="161"/>
    </row>
    <row r="43" spans="2:7" ht="18" customHeight="1">
      <c r="B43" s="161"/>
      <c r="C43" s="610"/>
      <c r="D43" s="162"/>
      <c r="E43" s="608"/>
      <c r="F43" s="609"/>
      <c r="G43" s="161"/>
    </row>
    <row r="44" spans="1:19" s="162" customFormat="1" ht="12.75">
      <c r="A44" s="604"/>
      <c r="B44" s="161"/>
      <c r="C44" s="610"/>
      <c r="E44" s="608"/>
      <c r="F44" s="609"/>
      <c r="G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</row>
    <row r="45" spans="1:19" s="162" customFormat="1" ht="18" customHeight="1">
      <c r="A45" s="604"/>
      <c r="B45" s="161"/>
      <c r="C45" s="610"/>
      <c r="E45" s="608"/>
      <c r="F45" s="609"/>
      <c r="G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</row>
    <row r="46" spans="1:19" s="162" customFormat="1" ht="12.75">
      <c r="A46" s="604"/>
      <c r="B46" s="161"/>
      <c r="C46" s="610"/>
      <c r="E46" s="608"/>
      <c r="F46" s="609"/>
      <c r="G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</row>
    <row r="47" spans="1:19" s="162" customFormat="1" ht="18" customHeight="1">
      <c r="A47" s="604"/>
      <c r="B47" s="161"/>
      <c r="C47" s="610"/>
      <c r="E47" s="608"/>
      <c r="F47" s="609"/>
      <c r="G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</row>
    <row r="48" spans="1:19" s="162" customFormat="1" ht="12.75">
      <c r="A48" s="604"/>
      <c r="B48" s="161"/>
      <c r="C48" s="610"/>
      <c r="E48" s="608"/>
      <c r="F48" s="609"/>
      <c r="G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</row>
    <row r="49" spans="1:19" s="162" customFormat="1" ht="18" customHeight="1">
      <c r="A49" s="604"/>
      <c r="B49" s="161"/>
      <c r="C49" s="610"/>
      <c r="E49" s="608"/>
      <c r="F49" s="609"/>
      <c r="G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</row>
    <row r="50" spans="1:19" s="162" customFormat="1" ht="12.75">
      <c r="A50" s="604"/>
      <c r="B50" s="161"/>
      <c r="C50" s="610"/>
      <c r="E50" s="608"/>
      <c r="F50" s="609"/>
      <c r="G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</row>
    <row r="51" spans="1:19" s="162" customFormat="1" ht="18" customHeight="1">
      <c r="A51" s="604"/>
      <c r="B51" s="161"/>
      <c r="C51" s="610"/>
      <c r="E51" s="608"/>
      <c r="F51" s="609"/>
      <c r="G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</row>
    <row r="52" spans="1:19" s="162" customFormat="1" ht="12.75">
      <c r="A52" s="604"/>
      <c r="B52" s="161"/>
      <c r="C52" s="610"/>
      <c r="E52" s="608"/>
      <c r="F52" s="609"/>
      <c r="G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</row>
    <row r="53" spans="1:19" s="162" customFormat="1" ht="18" customHeight="1">
      <c r="A53" s="604"/>
      <c r="B53" s="161"/>
      <c r="C53" s="610"/>
      <c r="E53" s="608"/>
      <c r="F53" s="609"/>
      <c r="G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</row>
    <row r="54" spans="1:19" s="162" customFormat="1" ht="12.75">
      <c r="A54" s="604"/>
      <c r="B54" s="161"/>
      <c r="C54" s="610"/>
      <c r="E54" s="608"/>
      <c r="F54" s="609"/>
      <c r="G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</row>
    <row r="55" spans="1:19" s="162" customFormat="1" ht="18" customHeight="1">
      <c r="A55" s="604"/>
      <c r="B55" s="161"/>
      <c r="C55" s="610"/>
      <c r="E55" s="608"/>
      <c r="F55" s="609"/>
      <c r="G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</row>
    <row r="56" spans="1:19" s="162" customFormat="1" ht="12.75">
      <c r="A56" s="604"/>
      <c r="B56" s="161"/>
      <c r="C56" s="610"/>
      <c r="E56" s="608"/>
      <c r="F56" s="609"/>
      <c r="G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</row>
    <row r="57" spans="1:19" s="162" customFormat="1" ht="18" customHeight="1">
      <c r="A57" s="604"/>
      <c r="B57" s="161"/>
      <c r="C57" s="610"/>
      <c r="E57" s="608"/>
      <c r="F57" s="609"/>
      <c r="G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</row>
    <row r="58" spans="1:19" s="162" customFormat="1" ht="12.75">
      <c r="A58" s="604"/>
      <c r="B58" s="161"/>
      <c r="C58" s="610"/>
      <c r="E58" s="608"/>
      <c r="F58" s="609"/>
      <c r="G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</row>
    <row r="59" spans="1:19" s="162" customFormat="1" ht="18" customHeight="1">
      <c r="A59" s="604"/>
      <c r="B59" s="161"/>
      <c r="C59" s="610"/>
      <c r="E59" s="608"/>
      <c r="F59" s="609"/>
      <c r="G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</row>
    <row r="60" spans="1:19" s="162" customFormat="1" ht="12.75">
      <c r="A60" s="604"/>
      <c r="B60" s="161"/>
      <c r="C60" s="610"/>
      <c r="E60" s="608"/>
      <c r="F60" s="609"/>
      <c r="G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</row>
    <row r="61" spans="1:19" s="162" customFormat="1" ht="18" customHeight="1">
      <c r="A61" s="604"/>
      <c r="B61" s="161"/>
      <c r="C61" s="610"/>
      <c r="E61" s="608"/>
      <c r="F61" s="609"/>
      <c r="G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</row>
    <row r="62" spans="1:19" s="162" customFormat="1" ht="12.75">
      <c r="A62" s="604"/>
      <c r="B62" s="161"/>
      <c r="C62" s="610"/>
      <c r="E62" s="608"/>
      <c r="F62" s="609"/>
      <c r="G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</row>
    <row r="63" spans="1:19" s="162" customFormat="1" ht="18" customHeight="1">
      <c r="A63" s="604"/>
      <c r="B63" s="161"/>
      <c r="C63" s="610"/>
      <c r="E63" s="608"/>
      <c r="F63" s="609"/>
      <c r="G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</row>
    <row r="64" spans="1:19" s="162" customFormat="1" ht="12.75">
      <c r="A64" s="604"/>
      <c r="B64" s="161"/>
      <c r="C64" s="610"/>
      <c r="E64" s="608"/>
      <c r="F64" s="609"/>
      <c r="G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</row>
    <row r="65" spans="1:19" s="162" customFormat="1" ht="18" customHeight="1">
      <c r="A65" s="604"/>
      <c r="B65" s="161"/>
      <c r="C65" s="610"/>
      <c r="E65" s="608"/>
      <c r="F65" s="609"/>
      <c r="G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</row>
    <row r="66" spans="1:19" s="162" customFormat="1" ht="12.75">
      <c r="A66" s="604"/>
      <c r="B66" s="161"/>
      <c r="C66" s="610"/>
      <c r="E66" s="608"/>
      <c r="F66" s="609"/>
      <c r="G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</row>
    <row r="67" spans="1:19" s="162" customFormat="1" ht="18" customHeight="1">
      <c r="A67" s="604"/>
      <c r="B67" s="161"/>
      <c r="C67" s="610"/>
      <c r="E67" s="608"/>
      <c r="F67" s="609"/>
      <c r="G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</row>
    <row r="68" spans="1:19" s="162" customFormat="1" ht="12.75">
      <c r="A68" s="604"/>
      <c r="B68" s="161"/>
      <c r="C68" s="610"/>
      <c r="E68" s="608"/>
      <c r="F68" s="609"/>
      <c r="G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</row>
    <row r="69" spans="1:19" s="162" customFormat="1" ht="18" customHeight="1">
      <c r="A69" s="604"/>
      <c r="B69" s="161"/>
      <c r="C69" s="610"/>
      <c r="E69" s="608"/>
      <c r="F69" s="609"/>
      <c r="G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</row>
    <row r="70" spans="1:19" s="162" customFormat="1" ht="12.75">
      <c r="A70" s="604"/>
      <c r="B70" s="161"/>
      <c r="C70" s="610"/>
      <c r="E70" s="608"/>
      <c r="F70" s="609"/>
      <c r="G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</row>
    <row r="71" spans="1:19" s="162" customFormat="1" ht="18" customHeight="1">
      <c r="A71" s="604"/>
      <c r="B71" s="161"/>
      <c r="C71" s="610"/>
      <c r="E71" s="608"/>
      <c r="F71" s="609"/>
      <c r="G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</row>
    <row r="72" spans="1:19" s="162" customFormat="1" ht="12.75">
      <c r="A72" s="604"/>
      <c r="B72" s="161"/>
      <c r="C72" s="610"/>
      <c r="E72" s="608"/>
      <c r="F72" s="609"/>
      <c r="G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</row>
    <row r="73" spans="1:19" s="162" customFormat="1" ht="18" customHeight="1">
      <c r="A73" s="604"/>
      <c r="B73" s="161"/>
      <c r="C73" s="610"/>
      <c r="E73" s="608"/>
      <c r="F73" s="609"/>
      <c r="G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</row>
    <row r="74" spans="1:19" s="162" customFormat="1" ht="12.75">
      <c r="A74" s="604"/>
      <c r="B74" s="161"/>
      <c r="C74" s="610"/>
      <c r="E74" s="608"/>
      <c r="F74" s="609"/>
      <c r="G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</row>
    <row r="75" spans="1:19" s="162" customFormat="1" ht="18" customHeight="1">
      <c r="A75" s="604"/>
      <c r="B75" s="161"/>
      <c r="C75" s="610"/>
      <c r="E75" s="608"/>
      <c r="F75" s="609"/>
      <c r="G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</row>
    <row r="76" spans="1:19" s="162" customFormat="1" ht="12.75">
      <c r="A76" s="604"/>
      <c r="B76" s="161"/>
      <c r="C76" s="610"/>
      <c r="E76" s="608"/>
      <c r="F76" s="609"/>
      <c r="G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</row>
    <row r="77" spans="1:19" s="162" customFormat="1" ht="18" customHeight="1">
      <c r="A77" s="604"/>
      <c r="B77" s="161"/>
      <c r="C77" s="610"/>
      <c r="E77" s="608"/>
      <c r="F77" s="609"/>
      <c r="G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</row>
    <row r="78" spans="1:19" s="162" customFormat="1" ht="12.75">
      <c r="A78" s="604"/>
      <c r="B78" s="161"/>
      <c r="C78" s="610"/>
      <c r="E78" s="608"/>
      <c r="F78" s="609"/>
      <c r="G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</row>
    <row r="79" spans="1:19" s="162" customFormat="1" ht="18" customHeight="1">
      <c r="A79" s="604"/>
      <c r="B79" s="161"/>
      <c r="C79" s="610"/>
      <c r="E79" s="608"/>
      <c r="F79" s="609"/>
      <c r="G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</row>
    <row r="80" spans="1:19" s="162" customFormat="1" ht="12.75">
      <c r="A80" s="604"/>
      <c r="B80" s="161"/>
      <c r="C80" s="161"/>
      <c r="E80" s="608"/>
      <c r="F80" s="609"/>
      <c r="G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</row>
    <row r="81" spans="1:19" s="162" customFormat="1" ht="12.75">
      <c r="A81" s="604"/>
      <c r="B81" s="161"/>
      <c r="C81" s="161"/>
      <c r="E81" s="608"/>
      <c r="F81" s="609"/>
      <c r="G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</row>
    <row r="82" spans="1:19" s="162" customFormat="1" ht="12.75">
      <c r="A82" s="604"/>
      <c r="B82" s="161"/>
      <c r="C82" s="161"/>
      <c r="E82" s="608"/>
      <c r="F82" s="609"/>
      <c r="G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</row>
    <row r="83" spans="1:19" s="162" customFormat="1" ht="12.75">
      <c r="A83" s="604"/>
      <c r="B83" s="161"/>
      <c r="C83" s="161"/>
      <c r="E83" s="608"/>
      <c r="F83" s="609"/>
      <c r="G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</row>
    <row r="84" spans="1:19" s="162" customFormat="1" ht="12.75">
      <c r="A84" s="604"/>
      <c r="B84" s="161"/>
      <c r="C84" s="161"/>
      <c r="E84" s="608"/>
      <c r="F84" s="609"/>
      <c r="G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</row>
    <row r="85" spans="1:19" s="162" customFormat="1" ht="12.75">
      <c r="A85" s="604"/>
      <c r="B85" s="161"/>
      <c r="C85" s="161"/>
      <c r="E85" s="608"/>
      <c r="F85" s="609"/>
      <c r="G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</row>
    <row r="86" spans="1:19" s="162" customFormat="1" ht="12.75">
      <c r="A86" s="604"/>
      <c r="B86" s="161"/>
      <c r="C86" s="161"/>
      <c r="E86" s="608"/>
      <c r="F86" s="609"/>
      <c r="G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</row>
    <row r="87" spans="1:19" s="162" customFormat="1" ht="12.75">
      <c r="A87" s="604"/>
      <c r="B87" s="161"/>
      <c r="C87" s="161"/>
      <c r="E87" s="608"/>
      <c r="F87" s="609"/>
      <c r="G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</row>
    <row r="88" spans="1:19" s="162" customFormat="1" ht="12.75">
      <c r="A88" s="604"/>
      <c r="B88" s="161"/>
      <c r="C88" s="161"/>
      <c r="E88" s="608"/>
      <c r="F88" s="609"/>
      <c r="G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</row>
    <row r="89" spans="1:19" s="162" customFormat="1" ht="12.75">
      <c r="A89" s="604"/>
      <c r="B89" s="161"/>
      <c r="C89" s="161"/>
      <c r="E89" s="608"/>
      <c r="F89" s="609"/>
      <c r="G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</row>
    <row r="90" spans="1:19" s="162" customFormat="1" ht="12.75">
      <c r="A90" s="604"/>
      <c r="B90" s="161"/>
      <c r="C90" s="161"/>
      <c r="E90" s="608"/>
      <c r="F90" s="609"/>
      <c r="G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</row>
    <row r="91" spans="1:19" s="162" customFormat="1" ht="12.75">
      <c r="A91" s="604"/>
      <c r="B91" s="161"/>
      <c r="C91" s="161"/>
      <c r="E91" s="608"/>
      <c r="F91" s="609"/>
      <c r="G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</row>
    <row r="92" spans="1:19" s="162" customFormat="1" ht="12.75">
      <c r="A92" s="604"/>
      <c r="B92" s="161"/>
      <c r="C92" s="161"/>
      <c r="E92" s="608"/>
      <c r="F92" s="609"/>
      <c r="G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</row>
    <row r="93" spans="1:19" s="162" customFormat="1" ht="12.75">
      <c r="A93" s="604"/>
      <c r="B93" s="161"/>
      <c r="C93" s="161"/>
      <c r="E93" s="608"/>
      <c r="F93" s="609"/>
      <c r="G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</row>
    <row r="94" spans="1:19" s="162" customFormat="1" ht="12.75">
      <c r="A94" s="604"/>
      <c r="B94" s="161"/>
      <c r="C94" s="161"/>
      <c r="E94" s="608"/>
      <c r="F94" s="609"/>
      <c r="G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</row>
    <row r="95" spans="1:19" s="162" customFormat="1" ht="12.75">
      <c r="A95" s="604"/>
      <c r="B95" s="161"/>
      <c r="C95" s="161"/>
      <c r="E95" s="608"/>
      <c r="F95" s="609"/>
      <c r="G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</row>
    <row r="96" spans="1:19" s="162" customFormat="1" ht="12.75">
      <c r="A96" s="604"/>
      <c r="B96" s="161"/>
      <c r="C96" s="161"/>
      <c r="E96" s="608"/>
      <c r="F96" s="609"/>
      <c r="G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</row>
    <row r="97" spans="1:19" s="162" customFormat="1" ht="12.75">
      <c r="A97" s="604"/>
      <c r="B97" s="161"/>
      <c r="C97" s="161"/>
      <c r="E97" s="608"/>
      <c r="F97" s="609"/>
      <c r="G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</row>
    <row r="98" spans="1:19" s="162" customFormat="1" ht="12.75">
      <c r="A98" s="604"/>
      <c r="B98" s="161"/>
      <c r="C98" s="161"/>
      <c r="E98" s="608"/>
      <c r="F98" s="609"/>
      <c r="G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</row>
    <row r="99" spans="1:19" s="162" customFormat="1" ht="12.75">
      <c r="A99" s="604"/>
      <c r="B99" s="161"/>
      <c r="C99" s="161"/>
      <c r="E99" s="608"/>
      <c r="F99" s="609"/>
      <c r="G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</row>
    <row r="100" spans="1:19" s="162" customFormat="1" ht="12.75">
      <c r="A100" s="604"/>
      <c r="B100" s="161"/>
      <c r="C100" s="161"/>
      <c r="E100" s="608"/>
      <c r="F100" s="609"/>
      <c r="G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</row>
    <row r="101" spans="1:19" s="162" customFormat="1" ht="12.75">
      <c r="A101" s="604"/>
      <c r="B101" s="161"/>
      <c r="C101" s="161"/>
      <c r="E101" s="608"/>
      <c r="F101" s="609"/>
      <c r="G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</row>
    <row r="102" spans="1:19" s="162" customFormat="1" ht="12.75">
      <c r="A102" s="604"/>
      <c r="B102" s="161"/>
      <c r="C102" s="161"/>
      <c r="E102" s="608"/>
      <c r="F102" s="609"/>
      <c r="G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</row>
    <row r="103" spans="1:19" s="162" customFormat="1" ht="12.75">
      <c r="A103" s="604"/>
      <c r="B103" s="161"/>
      <c r="C103" s="161"/>
      <c r="E103" s="608"/>
      <c r="F103" s="609"/>
      <c r="G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</row>
    <row r="104" spans="1:19" s="162" customFormat="1" ht="12.75">
      <c r="A104" s="604"/>
      <c r="B104" s="161"/>
      <c r="C104" s="161"/>
      <c r="E104" s="608"/>
      <c r="F104" s="609"/>
      <c r="G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</row>
    <row r="105" spans="1:19" s="162" customFormat="1" ht="12.75">
      <c r="A105" s="604"/>
      <c r="B105" s="161"/>
      <c r="C105" s="161"/>
      <c r="E105" s="608"/>
      <c r="F105" s="609"/>
      <c r="G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</row>
    <row r="106" spans="1:19" s="162" customFormat="1" ht="12.75">
      <c r="A106" s="604"/>
      <c r="B106" s="161"/>
      <c r="C106" s="161"/>
      <c r="E106" s="608"/>
      <c r="F106" s="609"/>
      <c r="G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</row>
    <row r="107" spans="1:19" s="162" customFormat="1" ht="12.75">
      <c r="A107" s="604"/>
      <c r="B107" s="161"/>
      <c r="C107" s="161"/>
      <c r="E107" s="608"/>
      <c r="F107" s="609"/>
      <c r="G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</row>
    <row r="108" spans="1:19" s="162" customFormat="1" ht="12.75">
      <c r="A108" s="604"/>
      <c r="B108" s="161"/>
      <c r="C108" s="161"/>
      <c r="E108" s="608"/>
      <c r="F108" s="609"/>
      <c r="G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</row>
    <row r="109" spans="1:19" s="162" customFormat="1" ht="12.75">
      <c r="A109" s="604"/>
      <c r="B109" s="161"/>
      <c r="C109" s="161"/>
      <c r="E109" s="608"/>
      <c r="F109" s="609"/>
      <c r="G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</row>
    <row r="110" spans="1:19" s="162" customFormat="1" ht="12.75">
      <c r="A110" s="604"/>
      <c r="B110" s="161"/>
      <c r="C110" s="161"/>
      <c r="E110" s="608"/>
      <c r="F110" s="609"/>
      <c r="G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</row>
    <row r="111" spans="1:19" s="162" customFormat="1" ht="12.75">
      <c r="A111" s="604"/>
      <c r="B111" s="161"/>
      <c r="C111" s="161"/>
      <c r="E111" s="608"/>
      <c r="F111" s="609"/>
      <c r="G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</row>
    <row r="112" spans="1:19" s="162" customFormat="1" ht="12.75">
      <c r="A112" s="604"/>
      <c r="B112" s="161"/>
      <c r="C112" s="161"/>
      <c r="E112" s="608"/>
      <c r="F112" s="609"/>
      <c r="G112" s="16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</row>
    <row r="113" spans="1:19" s="162" customFormat="1" ht="12.75">
      <c r="A113" s="604"/>
      <c r="B113" s="161"/>
      <c r="C113" s="161"/>
      <c r="E113" s="608"/>
      <c r="F113" s="609"/>
      <c r="G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</row>
  </sheetData>
  <mergeCells count="3">
    <mergeCell ref="B3:C3"/>
    <mergeCell ref="B25:D25"/>
    <mergeCell ref="B26:D26"/>
  </mergeCells>
  <printOptions/>
  <pageMargins left="0.6299212598425197" right="0.35433070866141736" top="0.5905511811023623" bottom="0.7086614173228347" header="0.5118110236220472" footer="0.31496062992125984"/>
  <pageSetup fitToHeight="99" horizontalDpi="600" verticalDpi="600" orientation="portrait" paperSize="9" scale="80" r:id="rId1"/>
  <headerFooter alignWithMargins="0">
    <oddFooter>&amp;L&amp;F
&amp;A&amp;C&amp;P/&amp;N&amp;R
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G384"/>
  <sheetViews>
    <sheetView showGridLines="0" tabSelected="1" view="pageBreakPreview" zoomScaleSheetLayoutView="100" workbookViewId="0" topLeftCell="A293">
      <selection activeCell="I312" sqref="I312"/>
    </sheetView>
  </sheetViews>
  <sheetFormatPr defaultColWidth="9.140625" defaultRowHeight="12.75"/>
  <cols>
    <col min="1" max="1" width="6.8515625" style="446" customWidth="1"/>
    <col min="2" max="2" width="15.8515625" style="447" customWidth="1"/>
    <col min="3" max="3" width="47.8515625" style="161" customWidth="1"/>
    <col min="4" max="4" width="10.28125" style="161" customWidth="1"/>
    <col min="5" max="5" width="10.8515625" style="450" customWidth="1"/>
    <col min="6" max="6" width="11.421875" style="449" customWidth="1"/>
    <col min="7" max="7" width="18.140625" style="162" customWidth="1"/>
    <col min="8" max="8" width="14.421875" style="176" customWidth="1"/>
    <col min="9" max="9" width="14.57421875" style="176" customWidth="1"/>
    <col min="10" max="10" width="10.00390625" style="176" customWidth="1"/>
    <col min="11" max="11" width="17.28125" style="176" customWidth="1"/>
    <col min="12" max="12" width="11.7109375" style="155" bestFit="1" customWidth="1"/>
    <col min="13" max="13" width="12.8515625" style="155" bestFit="1" customWidth="1"/>
    <col min="14" max="14" width="11.28125" style="155" bestFit="1" customWidth="1"/>
    <col min="15" max="15" width="9.8515625" style="155" bestFit="1" customWidth="1"/>
    <col min="16" max="16" width="9.140625" style="155" customWidth="1"/>
    <col min="17" max="17" width="11.28125" style="155" bestFit="1" customWidth="1"/>
    <col min="18" max="18" width="9.140625" style="155" customWidth="1"/>
    <col min="19" max="19" width="9.140625" style="161" customWidth="1"/>
    <col min="20" max="20" width="10.140625" style="162" bestFit="1" customWidth="1"/>
    <col min="21" max="26" width="9.140625" style="161" customWidth="1"/>
    <col min="27" max="29" width="9.28125" style="161" bestFit="1" customWidth="1"/>
    <col min="30" max="53" width="9.140625" style="161" customWidth="1"/>
    <col min="54" max="54" width="9.28125" style="161" bestFit="1" customWidth="1"/>
    <col min="55" max="55" width="11.00390625" style="161" bestFit="1" customWidth="1"/>
    <col min="56" max="59" width="9.28125" style="161" bestFit="1" customWidth="1"/>
    <col min="60" max="16384" width="9.140625" style="161" customWidth="1"/>
  </cols>
  <sheetData>
    <row r="1" spans="1:20" s="46" customFormat="1" ht="57" customHeight="1">
      <c r="A1" s="481" t="s">
        <v>0</v>
      </c>
      <c r="B1" s="482"/>
      <c r="C1" s="483" t="s">
        <v>148</v>
      </c>
      <c r="D1" s="484"/>
      <c r="E1" s="484"/>
      <c r="F1" s="485"/>
      <c r="G1" s="486" t="s">
        <v>1</v>
      </c>
      <c r="H1" s="487"/>
      <c r="I1" s="487"/>
      <c r="J1" s="487"/>
      <c r="K1" s="487"/>
      <c r="L1" s="45"/>
      <c r="M1" s="45"/>
      <c r="N1" s="45"/>
      <c r="O1" s="45"/>
      <c r="P1" s="45"/>
      <c r="Q1" s="45"/>
      <c r="R1" s="45"/>
      <c r="T1" s="47"/>
    </row>
    <row r="2" spans="1:20" s="85" customFormat="1" ht="29.25" customHeight="1">
      <c r="A2" s="488" t="s">
        <v>2</v>
      </c>
      <c r="B2" s="489"/>
      <c r="C2" s="616" t="s">
        <v>168</v>
      </c>
      <c r="D2" s="159"/>
      <c r="E2" s="490"/>
      <c r="F2" s="491"/>
      <c r="G2" s="492" t="s">
        <v>3</v>
      </c>
      <c r="H2" s="487"/>
      <c r="I2" s="487"/>
      <c r="J2" s="487"/>
      <c r="K2" s="487"/>
      <c r="L2" s="45"/>
      <c r="M2" s="45"/>
      <c r="N2" s="45"/>
      <c r="O2" s="45"/>
      <c r="P2" s="45"/>
      <c r="Q2" s="45"/>
      <c r="R2" s="45"/>
      <c r="T2" s="493"/>
    </row>
    <row r="3" spans="1:20" s="499" customFormat="1" ht="52.5" customHeight="1">
      <c r="A3" s="488" t="s">
        <v>4</v>
      </c>
      <c r="B3" s="489"/>
      <c r="C3" s="728" t="s">
        <v>246</v>
      </c>
      <c r="D3" s="729"/>
      <c r="E3" s="494"/>
      <c r="F3" s="495"/>
      <c r="G3" s="1" t="s">
        <v>226</v>
      </c>
      <c r="H3" s="496"/>
      <c r="I3" s="497"/>
      <c r="J3" s="496"/>
      <c r="K3" s="496"/>
      <c r="L3" s="498"/>
      <c r="M3" s="498"/>
      <c r="N3" s="498"/>
      <c r="O3" s="498"/>
      <c r="P3" s="498"/>
      <c r="Q3" s="498"/>
      <c r="R3" s="498"/>
      <c r="T3" s="500"/>
    </row>
    <row r="4" spans="1:20" s="357" customFormat="1" ht="24" customHeight="1">
      <c r="A4" s="613"/>
      <c r="B4" s="164"/>
      <c r="C4" s="165" t="s">
        <v>227</v>
      </c>
      <c r="D4" s="166"/>
      <c r="E4" s="501"/>
      <c r="F4" s="167"/>
      <c r="G4" s="168"/>
      <c r="H4" s="351"/>
      <c r="I4" s="351"/>
      <c r="J4" s="351"/>
      <c r="K4" s="351"/>
      <c r="L4" s="327"/>
      <c r="M4" s="327"/>
      <c r="N4" s="327"/>
      <c r="O4" s="327"/>
      <c r="P4" s="327"/>
      <c r="Q4" s="327"/>
      <c r="R4" s="327"/>
      <c r="T4" s="502"/>
    </row>
    <row r="5" spans="1:7" ht="5.25" customHeight="1" thickBot="1">
      <c r="A5" s="170"/>
      <c r="B5" s="171"/>
      <c r="C5" s="172"/>
      <c r="D5" s="172"/>
      <c r="E5" s="173"/>
      <c r="F5" s="174"/>
      <c r="G5" s="175"/>
    </row>
    <row r="6" spans="1:20" s="185" customFormat="1" ht="51.75" customHeight="1" thickBot="1">
      <c r="A6" s="177" t="s">
        <v>5</v>
      </c>
      <c r="B6" s="178"/>
      <c r="C6" s="179" t="s">
        <v>6</v>
      </c>
      <c r="D6" s="180" t="s">
        <v>7</v>
      </c>
      <c r="E6" s="181" t="s">
        <v>8</v>
      </c>
      <c r="F6" s="182" t="s">
        <v>9</v>
      </c>
      <c r="G6" s="183" t="s">
        <v>10</v>
      </c>
      <c r="H6" s="176"/>
      <c r="I6" s="176"/>
      <c r="J6" s="176"/>
      <c r="K6" s="176"/>
      <c r="L6" s="184"/>
      <c r="M6" s="184"/>
      <c r="N6" s="184"/>
      <c r="O6" s="184"/>
      <c r="P6" s="184"/>
      <c r="Q6" s="184"/>
      <c r="R6" s="184"/>
      <c r="T6" s="186"/>
    </row>
    <row r="7" spans="1:20" s="196" customFormat="1" ht="24" customHeight="1" thickTop="1">
      <c r="A7" s="187"/>
      <c r="B7" s="188"/>
      <c r="C7" s="189" t="s">
        <v>11</v>
      </c>
      <c r="D7" s="190"/>
      <c r="E7" s="191"/>
      <c r="F7" s="192"/>
      <c r="G7" s="193"/>
      <c r="H7" s="194"/>
      <c r="I7" s="194"/>
      <c r="J7" s="194"/>
      <c r="K7" s="194"/>
      <c r="L7" s="195"/>
      <c r="M7" s="195"/>
      <c r="N7" s="195"/>
      <c r="O7" s="195"/>
      <c r="P7" s="195"/>
      <c r="Q7" s="195"/>
      <c r="R7" s="195"/>
      <c r="T7" s="197"/>
    </row>
    <row r="8" spans="1:20" s="4" customFormat="1" ht="54" customHeight="1">
      <c r="A8" s="198"/>
      <c r="B8" s="199"/>
      <c r="C8" s="200" t="s">
        <v>12</v>
      </c>
      <c r="D8" s="201"/>
      <c r="E8" s="201"/>
      <c r="F8" s="202"/>
      <c r="G8" s="203"/>
      <c r="H8" s="2"/>
      <c r="I8" s="2"/>
      <c r="J8" s="2"/>
      <c r="K8" s="2"/>
      <c r="L8" s="3"/>
      <c r="M8" s="3"/>
      <c r="N8" s="3"/>
      <c r="O8" s="3"/>
      <c r="P8" s="3"/>
      <c r="Q8" s="3"/>
      <c r="R8" s="3"/>
      <c r="T8" s="5"/>
    </row>
    <row r="9" spans="1:20" s="4" customFormat="1" ht="29.25" customHeight="1">
      <c r="A9" s="198"/>
      <c r="B9" s="199"/>
      <c r="C9" s="200" t="s">
        <v>13</v>
      </c>
      <c r="D9" s="201"/>
      <c r="E9" s="201"/>
      <c r="F9" s="202"/>
      <c r="G9" s="203"/>
      <c r="H9" s="2"/>
      <c r="I9" s="2"/>
      <c r="J9" s="2"/>
      <c r="K9" s="2"/>
      <c r="L9" s="3"/>
      <c r="M9" s="3"/>
      <c r="N9" s="3"/>
      <c r="O9" s="3"/>
      <c r="P9" s="3"/>
      <c r="Q9" s="3"/>
      <c r="R9" s="3"/>
      <c r="T9" s="5"/>
    </row>
    <row r="10" spans="1:20" s="4" customFormat="1" ht="56.25" customHeight="1">
      <c r="A10" s="198"/>
      <c r="B10" s="199"/>
      <c r="C10" s="200" t="s">
        <v>14</v>
      </c>
      <c r="D10" s="201"/>
      <c r="E10" s="201"/>
      <c r="F10" s="202"/>
      <c r="G10" s="203"/>
      <c r="H10" s="2"/>
      <c r="I10" s="2"/>
      <c r="J10" s="2"/>
      <c r="K10" s="2"/>
      <c r="L10" s="3"/>
      <c r="M10" s="3"/>
      <c r="N10" s="3"/>
      <c r="O10" s="3"/>
      <c r="P10" s="3"/>
      <c r="Q10" s="3"/>
      <c r="R10" s="3"/>
      <c r="T10" s="5"/>
    </row>
    <row r="11" spans="1:20" s="4" customFormat="1" ht="54.75" customHeight="1">
      <c r="A11" s="198"/>
      <c r="B11" s="199"/>
      <c r="C11" s="200" t="s">
        <v>15</v>
      </c>
      <c r="D11" s="201"/>
      <c r="E11" s="201"/>
      <c r="F11" s="202"/>
      <c r="G11" s="203"/>
      <c r="H11" s="2"/>
      <c r="I11" s="2"/>
      <c r="J11" s="2"/>
      <c r="K11" s="2"/>
      <c r="L11" s="3"/>
      <c r="M11" s="3"/>
      <c r="N11" s="3"/>
      <c r="O11" s="3"/>
      <c r="P11" s="3"/>
      <c r="Q11" s="3"/>
      <c r="R11" s="3"/>
      <c r="T11" s="5"/>
    </row>
    <row r="12" spans="1:20" s="4" customFormat="1" ht="46.5" customHeight="1">
      <c r="A12" s="198"/>
      <c r="B12" s="199"/>
      <c r="C12" s="200" t="s">
        <v>16</v>
      </c>
      <c r="D12" s="201"/>
      <c r="E12" s="201"/>
      <c r="F12" s="202"/>
      <c r="G12" s="203"/>
      <c r="H12" s="2"/>
      <c r="I12" s="2"/>
      <c r="J12" s="2"/>
      <c r="K12" s="2"/>
      <c r="L12" s="3"/>
      <c r="M12" s="3"/>
      <c r="N12" s="3"/>
      <c r="O12" s="3"/>
      <c r="P12" s="3"/>
      <c r="Q12" s="3"/>
      <c r="R12" s="3"/>
      <c r="T12" s="5"/>
    </row>
    <row r="13" spans="1:20" s="4" customFormat="1" ht="84.75" customHeight="1">
      <c r="A13" s="198"/>
      <c r="B13" s="199"/>
      <c r="C13" s="204" t="s">
        <v>17</v>
      </c>
      <c r="D13" s="201"/>
      <c r="E13" s="201"/>
      <c r="F13" s="202"/>
      <c r="G13" s="203"/>
      <c r="H13" s="2"/>
      <c r="I13" s="2"/>
      <c r="J13" s="2"/>
      <c r="K13" s="2"/>
      <c r="L13" s="3"/>
      <c r="M13" s="3"/>
      <c r="N13" s="3"/>
      <c r="O13" s="3"/>
      <c r="P13" s="3"/>
      <c r="Q13" s="3"/>
      <c r="R13" s="3"/>
      <c r="T13" s="5"/>
    </row>
    <row r="14" spans="1:20" s="4" customFormat="1" ht="32.25" customHeight="1">
      <c r="A14" s="198"/>
      <c r="B14" s="199"/>
      <c r="C14" s="200" t="s">
        <v>18</v>
      </c>
      <c r="D14" s="201"/>
      <c r="E14" s="201"/>
      <c r="F14" s="202"/>
      <c r="G14" s="203"/>
      <c r="H14" s="2"/>
      <c r="I14" s="2"/>
      <c r="J14" s="2"/>
      <c r="K14" s="2"/>
      <c r="L14" s="3"/>
      <c r="M14" s="3"/>
      <c r="N14" s="3"/>
      <c r="O14" s="3"/>
      <c r="P14" s="3"/>
      <c r="Q14" s="3"/>
      <c r="R14" s="3"/>
      <c r="T14" s="5"/>
    </row>
    <row r="15" spans="1:20" s="8" customFormat="1" ht="42.75" customHeight="1">
      <c r="A15" s="205"/>
      <c r="B15" s="206"/>
      <c r="C15" s="200" t="s">
        <v>19</v>
      </c>
      <c r="D15" s="207"/>
      <c r="E15" s="208"/>
      <c r="F15" s="209"/>
      <c r="G15" s="210"/>
      <c r="H15" s="6"/>
      <c r="I15" s="6"/>
      <c r="J15" s="6"/>
      <c r="K15" s="6"/>
      <c r="L15" s="7"/>
      <c r="M15" s="7"/>
      <c r="N15" s="7"/>
      <c r="O15" s="7"/>
      <c r="P15" s="7"/>
      <c r="Q15" s="7"/>
      <c r="R15" s="7"/>
      <c r="T15" s="9"/>
    </row>
    <row r="16" spans="1:7" s="196" customFormat="1" ht="28.5" customHeight="1">
      <c r="A16" s="187"/>
      <c r="B16" s="188"/>
      <c r="C16" s="300" t="s">
        <v>82</v>
      </c>
      <c r="D16" s="190"/>
      <c r="E16" s="191"/>
      <c r="F16" s="192"/>
      <c r="G16" s="193"/>
    </row>
    <row r="17" spans="1:20" s="17" customFormat="1" ht="6" customHeight="1">
      <c r="A17" s="10"/>
      <c r="B17" s="11"/>
      <c r="C17" s="12"/>
      <c r="D17" s="13"/>
      <c r="E17" s="13"/>
      <c r="F17" s="13"/>
      <c r="G17" s="14"/>
      <c r="H17" s="15"/>
      <c r="I17" s="15"/>
      <c r="J17" s="15"/>
      <c r="K17" s="15"/>
      <c r="L17" s="16"/>
      <c r="M17" s="16"/>
      <c r="N17" s="16"/>
      <c r="O17" s="16"/>
      <c r="P17" s="16"/>
      <c r="Q17" s="16"/>
      <c r="R17" s="16"/>
      <c r="T17" s="18"/>
    </row>
    <row r="18" spans="1:20" s="185" customFormat="1" ht="10.5" customHeight="1">
      <c r="A18" s="211"/>
      <c r="B18" s="212"/>
      <c r="C18" s="19"/>
      <c r="D18" s="213"/>
      <c r="E18" s="214"/>
      <c r="F18" s="215"/>
      <c r="G18" s="216"/>
      <c r="H18" s="176"/>
      <c r="I18" s="176"/>
      <c r="J18" s="176"/>
      <c r="K18" s="176"/>
      <c r="L18" s="184"/>
      <c r="M18" s="184"/>
      <c r="N18" s="184"/>
      <c r="O18" s="184"/>
      <c r="P18" s="184"/>
      <c r="Q18" s="184"/>
      <c r="R18" s="184"/>
      <c r="T18" s="186"/>
    </row>
    <row r="19" spans="1:20" s="156" customFormat="1" ht="18" customHeight="1">
      <c r="A19" s="217"/>
      <c r="B19" s="218"/>
      <c r="C19" s="219" t="s">
        <v>20</v>
      </c>
      <c r="D19" s="220"/>
      <c r="E19" s="221"/>
      <c r="F19" s="222"/>
      <c r="G19" s="223"/>
      <c r="H19" s="176"/>
      <c r="I19" s="176"/>
      <c r="J19" s="176"/>
      <c r="K19" s="176"/>
      <c r="L19" s="155"/>
      <c r="M19" s="155"/>
      <c r="N19" s="155"/>
      <c r="O19" s="155"/>
      <c r="P19" s="155"/>
      <c r="Q19" s="155"/>
      <c r="R19" s="155"/>
      <c r="T19" s="157"/>
    </row>
    <row r="20" spans="1:20" s="231" customFormat="1" ht="10.5" customHeight="1">
      <c r="A20" s="217"/>
      <c r="B20" s="224"/>
      <c r="C20" s="225"/>
      <c r="D20" s="226"/>
      <c r="E20" s="227"/>
      <c r="F20" s="228"/>
      <c r="G20" s="229"/>
      <c r="H20" s="176"/>
      <c r="I20" s="176"/>
      <c r="J20" s="176"/>
      <c r="K20" s="176"/>
      <c r="L20" s="230"/>
      <c r="M20" s="230"/>
      <c r="N20" s="230"/>
      <c r="O20" s="230"/>
      <c r="P20" s="230"/>
      <c r="Q20" s="230"/>
      <c r="R20" s="230"/>
      <c r="T20" s="232"/>
    </row>
    <row r="21" spans="1:20" s="17" customFormat="1" ht="6" customHeight="1">
      <c r="A21" s="10"/>
      <c r="B21" s="11"/>
      <c r="C21" s="12"/>
      <c r="D21" s="13"/>
      <c r="E21" s="13"/>
      <c r="F21" s="13"/>
      <c r="G21" s="14"/>
      <c r="H21" s="15"/>
      <c r="I21" s="15"/>
      <c r="J21" s="15"/>
      <c r="K21" s="15"/>
      <c r="L21" s="16"/>
      <c r="M21" s="16"/>
      <c r="N21" s="16"/>
      <c r="O21" s="16"/>
      <c r="P21" s="16"/>
      <c r="Q21" s="16"/>
      <c r="R21" s="16"/>
      <c r="T21" s="18"/>
    </row>
    <row r="22" spans="1:20" s="231" customFormat="1" ht="18" customHeight="1">
      <c r="A22" s="217"/>
      <c r="B22" s="224"/>
      <c r="C22" s="225"/>
      <c r="D22" s="226"/>
      <c r="E22" s="227"/>
      <c r="F22" s="228"/>
      <c r="G22" s="229"/>
      <c r="H22" s="176"/>
      <c r="I22" s="176"/>
      <c r="J22" s="176"/>
      <c r="K22" s="176"/>
      <c r="L22" s="230"/>
      <c r="M22" s="230"/>
      <c r="N22" s="230"/>
      <c r="O22" s="230"/>
      <c r="P22" s="230"/>
      <c r="Q22" s="230"/>
      <c r="R22" s="230"/>
      <c r="T22" s="232"/>
    </row>
    <row r="23" spans="1:20" s="241" customFormat="1" ht="18" customHeight="1">
      <c r="A23" s="233" t="str">
        <f>A41</f>
        <v>1</v>
      </c>
      <c r="B23" s="234" t="str">
        <f>$B$41</f>
        <v>9</v>
      </c>
      <c r="C23" s="236" t="str">
        <f>C41</f>
        <v>Bourání</v>
      </c>
      <c r="D23" s="237"/>
      <c r="E23" s="238"/>
      <c r="F23" s="239"/>
      <c r="G23" s="235">
        <f>G87</f>
        <v>0</v>
      </c>
      <c r="H23" s="194"/>
      <c r="I23" s="194"/>
      <c r="J23" s="194"/>
      <c r="K23" s="194"/>
      <c r="L23" s="240"/>
      <c r="M23" s="240"/>
      <c r="N23" s="240"/>
      <c r="O23" s="240"/>
      <c r="P23" s="240"/>
      <c r="Q23" s="240"/>
      <c r="R23" s="240"/>
      <c r="T23" s="242"/>
    </row>
    <row r="24" spans="1:20" s="241" customFormat="1" ht="18" customHeight="1">
      <c r="A24" s="233" t="str">
        <f>A89</f>
        <v>2</v>
      </c>
      <c r="B24" s="234" t="str">
        <f>B89</f>
        <v>34</v>
      </c>
      <c r="C24" s="236" t="str">
        <f>C89</f>
        <v>Stěny a příčky</v>
      </c>
      <c r="D24" s="237"/>
      <c r="E24" s="238"/>
      <c r="F24" s="239"/>
      <c r="G24" s="235">
        <f>G100</f>
        <v>0</v>
      </c>
      <c r="H24" s="194"/>
      <c r="I24" s="194"/>
      <c r="J24" s="194"/>
      <c r="K24" s="194"/>
      <c r="L24" s="240"/>
      <c r="M24" s="240"/>
      <c r="N24" s="240"/>
      <c r="O24" s="240"/>
      <c r="P24" s="240"/>
      <c r="Q24" s="240"/>
      <c r="R24" s="240"/>
      <c r="T24" s="242"/>
    </row>
    <row r="25" spans="1:20" s="231" customFormat="1" ht="18" customHeight="1">
      <c r="A25" s="233" t="str">
        <f>A102</f>
        <v>3</v>
      </c>
      <c r="B25" s="234" t="str">
        <f>$B$102</f>
        <v>71</v>
      </c>
      <c r="C25" s="225" t="str">
        <f>C102</f>
        <v xml:space="preserve">Střecha </v>
      </c>
      <c r="D25" s="226"/>
      <c r="E25" s="227"/>
      <c r="F25" s="228"/>
      <c r="G25" s="235">
        <f>G106</f>
        <v>0</v>
      </c>
      <c r="H25" s="176"/>
      <c r="I25" s="176"/>
      <c r="J25" s="176"/>
      <c r="K25" s="176"/>
      <c r="L25" s="230"/>
      <c r="M25" s="230"/>
      <c r="N25" s="230"/>
      <c r="O25" s="230"/>
      <c r="P25" s="230"/>
      <c r="Q25" s="230"/>
      <c r="R25" s="230"/>
      <c r="T25" s="232"/>
    </row>
    <row r="26" spans="1:20" s="231" customFormat="1" ht="18" customHeight="1">
      <c r="A26" s="233" t="str">
        <f>A108</f>
        <v>4</v>
      </c>
      <c r="B26" s="234" t="str">
        <f>B108</f>
        <v>61</v>
      </c>
      <c r="C26" s="225" t="str">
        <f>C108</f>
        <v>Úpravy povrchů vnitřní</v>
      </c>
      <c r="D26" s="226"/>
      <c r="E26" s="227"/>
      <c r="F26" s="228"/>
      <c r="G26" s="229">
        <f>G121</f>
        <v>0</v>
      </c>
      <c r="H26" s="176"/>
      <c r="I26" s="176"/>
      <c r="J26" s="176"/>
      <c r="K26" s="176"/>
      <c r="L26" s="230"/>
      <c r="M26" s="230"/>
      <c r="N26" s="230"/>
      <c r="O26" s="230"/>
      <c r="P26" s="230"/>
      <c r="Q26" s="230"/>
      <c r="R26" s="230"/>
      <c r="T26" s="232"/>
    </row>
    <row r="27" spans="1:20" s="231" customFormat="1" ht="18" customHeight="1">
      <c r="A27" s="233" t="str">
        <f>A123</f>
        <v>5</v>
      </c>
      <c r="B27" s="234" t="str">
        <f>B123</f>
        <v>62</v>
      </c>
      <c r="C27" s="225" t="str">
        <f>C123</f>
        <v>Úprava povrchů vnější</v>
      </c>
      <c r="D27" s="226"/>
      <c r="E27" s="227"/>
      <c r="F27" s="228"/>
      <c r="G27" s="229">
        <f>G141</f>
        <v>0</v>
      </c>
      <c r="H27" s="176"/>
      <c r="I27" s="176"/>
      <c r="J27" s="176"/>
      <c r="K27" s="176"/>
      <c r="L27" s="230"/>
      <c r="M27" s="230"/>
      <c r="N27" s="230"/>
      <c r="O27" s="230"/>
      <c r="P27" s="230"/>
      <c r="Q27" s="230"/>
      <c r="R27" s="230"/>
      <c r="T27" s="232"/>
    </row>
    <row r="28" spans="1:20" s="231" customFormat="1" ht="18" customHeight="1">
      <c r="A28" s="233" t="str">
        <f>A143</f>
        <v>6</v>
      </c>
      <c r="B28" s="234" t="str">
        <f>B143</f>
        <v>63</v>
      </c>
      <c r="C28" s="225" t="str">
        <f>C143</f>
        <v>Podlahy a podlahové konstrukce</v>
      </c>
      <c r="D28" s="226"/>
      <c r="E28" s="227"/>
      <c r="F28" s="228"/>
      <c r="G28" s="229">
        <f>G149</f>
        <v>0</v>
      </c>
      <c r="H28" s="176"/>
      <c r="I28" s="176"/>
      <c r="J28" s="176"/>
      <c r="K28" s="176"/>
      <c r="L28" s="230"/>
      <c r="M28" s="230"/>
      <c r="N28" s="230"/>
      <c r="O28" s="230"/>
      <c r="P28" s="230"/>
      <c r="Q28" s="230"/>
      <c r="R28" s="230"/>
      <c r="T28" s="232"/>
    </row>
    <row r="29" spans="1:20" s="231" customFormat="1" ht="18" customHeight="1">
      <c r="A29" s="233" t="str">
        <f>A151</f>
        <v>7</v>
      </c>
      <c r="B29" s="234" t="str">
        <f>B151</f>
        <v>641</v>
      </c>
      <c r="C29" s="225" t="str">
        <f>C151</f>
        <v>Výplně otvorů</v>
      </c>
      <c r="D29" s="226"/>
      <c r="E29" s="227"/>
      <c r="F29" s="228"/>
      <c r="G29" s="229">
        <f>G176</f>
        <v>0</v>
      </c>
      <c r="H29" s="176"/>
      <c r="I29" s="176"/>
      <c r="J29" s="176"/>
      <c r="K29" s="176"/>
      <c r="L29" s="230"/>
      <c r="M29" s="230"/>
      <c r="N29" s="230"/>
      <c r="O29" s="230"/>
      <c r="P29" s="230"/>
      <c r="Q29" s="230"/>
      <c r="R29" s="230"/>
      <c r="T29" s="232"/>
    </row>
    <row r="30" spans="1:20" s="231" customFormat="1" ht="18" customHeight="1">
      <c r="A30" s="233" t="str">
        <f>A178</f>
        <v>8</v>
      </c>
      <c r="B30" s="234" t="str">
        <f>B178</f>
        <v>642</v>
      </c>
      <c r="C30" s="225" t="str">
        <f>C178</f>
        <v>Dveře</v>
      </c>
      <c r="D30" s="226"/>
      <c r="E30" s="227"/>
      <c r="F30" s="228"/>
      <c r="G30" s="229">
        <f>G191</f>
        <v>0</v>
      </c>
      <c r="H30" s="176"/>
      <c r="I30" s="176"/>
      <c r="J30" s="176"/>
      <c r="K30" s="176"/>
      <c r="L30" s="230"/>
      <c r="M30" s="230"/>
      <c r="N30" s="230"/>
      <c r="O30" s="230"/>
      <c r="P30" s="230"/>
      <c r="Q30" s="230"/>
      <c r="R30" s="230"/>
      <c r="T30" s="232"/>
    </row>
    <row r="31" spans="1:20" s="231" customFormat="1" ht="18" customHeight="1">
      <c r="A31" s="233" t="str">
        <f>A193</f>
        <v>9</v>
      </c>
      <c r="B31" s="234" t="str">
        <f>B193</f>
        <v>09</v>
      </c>
      <c r="C31" s="225" t="str">
        <f>C193</f>
        <v>Ostatní konstrukce a práce</v>
      </c>
      <c r="D31" s="226"/>
      <c r="E31" s="227"/>
      <c r="F31" s="228"/>
      <c r="G31" s="229">
        <f>G207</f>
        <v>0</v>
      </c>
      <c r="H31" s="176"/>
      <c r="I31" s="176"/>
      <c r="J31" s="176"/>
      <c r="K31" s="176"/>
      <c r="L31" s="230"/>
      <c r="M31" s="230"/>
      <c r="N31" s="230"/>
      <c r="O31" s="230"/>
      <c r="P31" s="230"/>
      <c r="Q31" s="230"/>
      <c r="R31" s="230"/>
      <c r="T31" s="232"/>
    </row>
    <row r="32" spans="1:20" s="231" customFormat="1" ht="18" customHeight="1">
      <c r="A32" s="233" t="str">
        <f>A209</f>
        <v>10</v>
      </c>
      <c r="B32" s="234" t="str">
        <f>B209</f>
        <v>764</v>
      </c>
      <c r="C32" s="225" t="str">
        <f>C209</f>
        <v>Konstrukce klempířské</v>
      </c>
      <c r="D32" s="226"/>
      <c r="E32" s="227"/>
      <c r="F32" s="228"/>
      <c r="G32" s="229">
        <f>G231</f>
        <v>0</v>
      </c>
      <c r="H32" s="176"/>
      <c r="I32" s="176"/>
      <c r="J32" s="176"/>
      <c r="K32" s="176"/>
      <c r="L32" s="230"/>
      <c r="M32" s="230"/>
      <c r="N32" s="230"/>
      <c r="O32" s="230"/>
      <c r="P32" s="230"/>
      <c r="Q32" s="230"/>
      <c r="R32" s="230"/>
      <c r="T32" s="232"/>
    </row>
    <row r="33" spans="1:20" s="231" customFormat="1" ht="18" customHeight="1">
      <c r="A33" s="233" t="str">
        <f>A233</f>
        <v>11</v>
      </c>
      <c r="B33" s="234" t="str">
        <f>$B$233</f>
        <v>767</v>
      </c>
      <c r="C33" s="225" t="str">
        <f>C233</f>
        <v>Konstrukce zámečnické</v>
      </c>
      <c r="D33" s="226"/>
      <c r="E33" s="227"/>
      <c r="F33" s="228"/>
      <c r="G33" s="229">
        <f>G255</f>
        <v>0</v>
      </c>
      <c r="H33" s="176"/>
      <c r="I33" s="176"/>
      <c r="J33" s="176"/>
      <c r="K33" s="176"/>
      <c r="L33" s="230"/>
      <c r="M33" s="230"/>
      <c r="N33" s="230"/>
      <c r="O33" s="230"/>
      <c r="P33" s="230"/>
      <c r="Q33" s="230"/>
      <c r="R33" s="230"/>
      <c r="T33" s="232"/>
    </row>
    <row r="34" spans="1:20" s="231" customFormat="1" ht="18" customHeight="1">
      <c r="A34" s="243" t="str">
        <f aca="true" t="shared" si="0" ref="A34:C34">A257</f>
        <v>12</v>
      </c>
      <c r="B34" s="244" t="str">
        <f t="shared" si="0"/>
        <v>771</v>
      </c>
      <c r="C34" s="245" t="str">
        <f t="shared" si="0"/>
        <v>Podlahy z dlaždic</v>
      </c>
      <c r="D34" s="246"/>
      <c r="E34" s="247"/>
      <c r="F34" s="248"/>
      <c r="G34" s="249">
        <f>G287</f>
        <v>0</v>
      </c>
      <c r="H34" s="176"/>
      <c r="I34" s="176"/>
      <c r="J34" s="176"/>
      <c r="K34" s="176"/>
      <c r="L34" s="230"/>
      <c r="M34" s="230"/>
      <c r="N34" s="230"/>
      <c r="O34" s="230"/>
      <c r="P34" s="230"/>
      <c r="Q34" s="230"/>
      <c r="R34" s="230"/>
      <c r="T34" s="232"/>
    </row>
    <row r="35" spans="1:20" s="231" customFormat="1" ht="18" customHeight="1">
      <c r="A35" s="243" t="str">
        <f aca="true" t="shared" si="1" ref="A35:C35">A289</f>
        <v>13</v>
      </c>
      <c r="B35" s="244" t="str">
        <f t="shared" si="1"/>
        <v>783</v>
      </c>
      <c r="C35" s="245" t="str">
        <f t="shared" si="1"/>
        <v>Nátěry</v>
      </c>
      <c r="D35" s="246"/>
      <c r="E35" s="247"/>
      <c r="F35" s="248"/>
      <c r="G35" s="249">
        <f>G297</f>
        <v>0</v>
      </c>
      <c r="H35" s="176"/>
      <c r="I35" s="176"/>
      <c r="J35" s="176"/>
      <c r="K35" s="176"/>
      <c r="L35" s="230"/>
      <c r="M35" s="230"/>
      <c r="N35" s="230"/>
      <c r="O35" s="230"/>
      <c r="P35" s="230"/>
      <c r="Q35" s="230"/>
      <c r="R35" s="230"/>
      <c r="T35" s="232"/>
    </row>
    <row r="36" spans="1:20" s="231" customFormat="1" ht="18" customHeight="1">
      <c r="A36" s="243" t="str">
        <f aca="true" t="shared" si="2" ref="A36:C36">A299</f>
        <v>14</v>
      </c>
      <c r="B36" s="244" t="str">
        <f t="shared" si="2"/>
        <v>784</v>
      </c>
      <c r="C36" s="245" t="str">
        <f t="shared" si="2"/>
        <v>Malby</v>
      </c>
      <c r="D36" s="246"/>
      <c r="E36" s="247"/>
      <c r="F36" s="248"/>
      <c r="G36" s="249">
        <f>G308</f>
        <v>0</v>
      </c>
      <c r="H36" s="176"/>
      <c r="I36" s="176"/>
      <c r="J36" s="176"/>
      <c r="K36" s="176"/>
      <c r="L36" s="230"/>
      <c r="M36" s="230"/>
      <c r="N36" s="230"/>
      <c r="O36" s="230"/>
      <c r="P36" s="230"/>
      <c r="Q36" s="230"/>
      <c r="R36" s="230"/>
      <c r="T36" s="232"/>
    </row>
    <row r="37" spans="1:20" s="231" customFormat="1" ht="18" customHeight="1">
      <c r="A37" s="243" t="str">
        <f aca="true" t="shared" si="3" ref="A37:C37">A310</f>
        <v>15</v>
      </c>
      <c r="B37" s="244"/>
      <c r="C37" s="245" t="str">
        <f t="shared" si="3"/>
        <v>Ostatní práce a dodávky</v>
      </c>
      <c r="D37" s="246"/>
      <c r="E37" s="247"/>
      <c r="F37" s="248"/>
      <c r="G37" s="249">
        <f>G319</f>
        <v>0</v>
      </c>
      <c r="H37" s="176"/>
      <c r="I37" s="176"/>
      <c r="J37" s="176"/>
      <c r="K37" s="176"/>
      <c r="L37" s="230"/>
      <c r="M37" s="230"/>
      <c r="N37" s="230"/>
      <c r="O37" s="230"/>
      <c r="P37" s="230"/>
      <c r="Q37" s="230"/>
      <c r="R37" s="230"/>
      <c r="T37" s="232"/>
    </row>
    <row r="38" spans="1:20" s="156" customFormat="1" ht="18" customHeight="1" thickBot="1">
      <c r="A38" s="250"/>
      <c r="B38" s="251"/>
      <c r="C38" s="252"/>
      <c r="D38" s="252"/>
      <c r="E38" s="253"/>
      <c r="F38" s="254"/>
      <c r="G38" s="255"/>
      <c r="H38" s="176"/>
      <c r="I38" s="176"/>
      <c r="J38" s="176"/>
      <c r="K38" s="176"/>
      <c r="L38" s="155"/>
      <c r="M38" s="155"/>
      <c r="N38" s="155"/>
      <c r="O38" s="155"/>
      <c r="P38" s="155"/>
      <c r="Q38" s="155"/>
      <c r="R38" s="155"/>
      <c r="T38" s="157"/>
    </row>
    <row r="39" spans="1:20" s="264" customFormat="1" ht="23.25" customHeight="1" thickBot="1">
      <c r="A39" s="256"/>
      <c r="B39" s="257"/>
      <c r="C39" s="258" t="s">
        <v>22</v>
      </c>
      <c r="D39" s="258"/>
      <c r="E39" s="259"/>
      <c r="F39" s="260"/>
      <c r="G39" s="261">
        <f>SUM(G23:G38)</f>
        <v>0</v>
      </c>
      <c r="H39" s="262"/>
      <c r="I39" s="262"/>
      <c r="J39" s="262"/>
      <c r="K39" s="262"/>
      <c r="L39" s="263"/>
      <c r="M39" s="263"/>
      <c r="N39" s="263"/>
      <c r="O39" s="263"/>
      <c r="P39" s="263"/>
      <c r="Q39" s="263"/>
      <c r="R39" s="263"/>
      <c r="T39" s="265"/>
    </row>
    <row r="40" spans="1:7" ht="13.5" customHeight="1" thickBot="1">
      <c r="A40" s="266"/>
      <c r="B40" s="267"/>
      <c r="C40" s="268"/>
      <c r="D40" s="268"/>
      <c r="E40" s="269"/>
      <c r="F40" s="270"/>
      <c r="G40" s="271"/>
    </row>
    <row r="41" spans="1:20" s="280" customFormat="1" ht="16.5" customHeight="1" thickBot="1">
      <c r="A41" s="272" t="s">
        <v>23</v>
      </c>
      <c r="B41" s="273" t="s">
        <v>24</v>
      </c>
      <c r="C41" s="274" t="s">
        <v>25</v>
      </c>
      <c r="D41" s="275"/>
      <c r="E41" s="276"/>
      <c r="F41" s="277"/>
      <c r="G41" s="278"/>
      <c r="H41" s="262"/>
      <c r="I41" s="262"/>
      <c r="J41" s="262"/>
      <c r="K41" s="262"/>
      <c r="L41" s="279"/>
      <c r="M41" s="279"/>
      <c r="N41" s="279"/>
      <c r="O41" s="279"/>
      <c r="P41" s="279"/>
      <c r="Q41" s="279"/>
      <c r="R41" s="279"/>
      <c r="T41" s="281"/>
    </row>
    <row r="42" spans="1:20" s="328" customFormat="1" ht="12.75">
      <c r="A42" s="320"/>
      <c r="B42" s="321"/>
      <c r="C42" s="322"/>
      <c r="D42" s="323"/>
      <c r="E42" s="286"/>
      <c r="F42" s="324"/>
      <c r="G42" s="325"/>
      <c r="H42" s="326"/>
      <c r="I42" s="194"/>
      <c r="J42" s="194"/>
      <c r="K42" s="194"/>
      <c r="L42" s="327"/>
      <c r="M42" s="327"/>
      <c r="N42" s="327"/>
      <c r="O42" s="327"/>
      <c r="P42" s="327"/>
      <c r="Q42" s="327"/>
      <c r="R42" s="327"/>
      <c r="T42" s="329"/>
    </row>
    <row r="43" spans="1:17" s="29" customFormat="1" ht="20.25" customHeight="1">
      <c r="A43" s="20" t="s">
        <v>228</v>
      </c>
      <c r="B43" s="21" t="s">
        <v>213</v>
      </c>
      <c r="C43" s="22" t="s">
        <v>214</v>
      </c>
      <c r="D43" s="23" t="s">
        <v>26</v>
      </c>
      <c r="E43" s="24">
        <f>SUM(D44)</f>
        <v>4.7</v>
      </c>
      <c r="F43" s="25">
        <v>0</v>
      </c>
      <c r="G43" s="26">
        <f>$E43*F43</f>
        <v>0</v>
      </c>
      <c r="H43" s="649"/>
      <c r="I43" s="649"/>
      <c r="J43" s="649">
        <v>-0.02</v>
      </c>
      <c r="K43" s="649">
        <f>E43*J43</f>
        <v>-0.094</v>
      </c>
      <c r="L43" s="650"/>
      <c r="M43" s="650"/>
      <c r="Q43" s="651"/>
    </row>
    <row r="44" spans="1:13" s="149" customFormat="1" ht="13.5" customHeight="1">
      <c r="A44" s="147"/>
      <c r="B44" s="412" t="s">
        <v>338</v>
      </c>
      <c r="C44" s="640">
        <v>4.7</v>
      </c>
      <c r="D44" s="641">
        <f>4.7</f>
        <v>4.7</v>
      </c>
      <c r="E44" s="642"/>
      <c r="F44" s="148"/>
      <c r="G44" s="643"/>
      <c r="H44" s="413"/>
      <c r="I44" s="413"/>
      <c r="J44" s="413"/>
      <c r="K44" s="413"/>
      <c r="L44" s="644"/>
      <c r="M44" s="644"/>
    </row>
    <row r="45" spans="1:13" s="29" customFormat="1" ht="37.5" customHeight="1">
      <c r="A45" s="20" t="s">
        <v>229</v>
      </c>
      <c r="B45" s="21" t="s">
        <v>277</v>
      </c>
      <c r="C45" s="725" t="s">
        <v>278</v>
      </c>
      <c r="D45" s="726" t="s">
        <v>28</v>
      </c>
      <c r="E45" s="24">
        <f>SUM(D46:D47)</f>
        <v>0.6659999999999999</v>
      </c>
      <c r="F45" s="25">
        <v>0</v>
      </c>
      <c r="G45" s="26">
        <f>$E45*F45</f>
        <v>0</v>
      </c>
      <c r="H45" s="647"/>
      <c r="I45" s="647"/>
      <c r="J45" s="27">
        <v>-2.2</v>
      </c>
      <c r="K45" s="649">
        <f>E45*J45</f>
        <v>-1.4652</v>
      </c>
      <c r="L45" s="727"/>
      <c r="M45" s="727"/>
    </row>
    <row r="46" spans="1:13" s="149" customFormat="1" ht="17.25" customHeight="1">
      <c r="A46" s="147"/>
      <c r="B46" s="412" t="s">
        <v>338</v>
      </c>
      <c r="C46" s="640" t="s">
        <v>276</v>
      </c>
      <c r="D46" s="641">
        <f>4.7*0.06</f>
        <v>0.282</v>
      </c>
      <c r="E46" s="642"/>
      <c r="F46" s="148"/>
      <c r="G46" s="643"/>
      <c r="H46" s="413"/>
      <c r="I46" s="413"/>
      <c r="J46" s="413"/>
      <c r="K46" s="413"/>
      <c r="L46" s="644"/>
      <c r="M46" s="644"/>
    </row>
    <row r="47" spans="1:13" s="149" customFormat="1" ht="17.25" customHeight="1">
      <c r="A47" s="147"/>
      <c r="B47" s="412" t="s">
        <v>279</v>
      </c>
      <c r="C47" s="640" t="s">
        <v>352</v>
      </c>
      <c r="D47" s="641">
        <f>6.4*0.06</f>
        <v>0.384</v>
      </c>
      <c r="E47" s="642"/>
      <c r="F47" s="148"/>
      <c r="G47" s="643"/>
      <c r="H47" s="413"/>
      <c r="I47" s="413"/>
      <c r="J47" s="413"/>
      <c r="K47" s="413"/>
      <c r="L47" s="644"/>
      <c r="M47" s="644"/>
    </row>
    <row r="48" spans="1:13" s="29" customFormat="1" ht="21.75" customHeight="1">
      <c r="A48" s="20" t="s">
        <v>230</v>
      </c>
      <c r="B48" s="21" t="s">
        <v>280</v>
      </c>
      <c r="C48" s="725" t="s">
        <v>281</v>
      </c>
      <c r="D48" s="726" t="s">
        <v>26</v>
      </c>
      <c r="E48" s="24">
        <f>SUM(D49)</f>
        <v>3.753</v>
      </c>
      <c r="F48" s="25">
        <v>0</v>
      </c>
      <c r="G48" s="26">
        <f>$E48*F48</f>
        <v>0</v>
      </c>
      <c r="H48" s="647"/>
      <c r="I48" s="647"/>
      <c r="J48" s="27" t="s">
        <v>282</v>
      </c>
      <c r="K48" s="649"/>
      <c r="L48" s="727"/>
      <c r="M48" s="727"/>
    </row>
    <row r="49" spans="1:13" s="149" customFormat="1" ht="17.25" customHeight="1">
      <c r="A49" s="147"/>
      <c r="B49" s="412" t="s">
        <v>283</v>
      </c>
      <c r="C49" s="640" t="s">
        <v>284</v>
      </c>
      <c r="D49" s="641">
        <f>0.167*1.5*6+0.3*1.5*5</f>
        <v>3.753</v>
      </c>
      <c r="E49" s="642"/>
      <c r="F49" s="148"/>
      <c r="G49" s="643"/>
      <c r="H49" s="413"/>
      <c r="I49" s="413"/>
      <c r="J49" s="413"/>
      <c r="K49" s="413"/>
      <c r="L49" s="644"/>
      <c r="M49" s="644"/>
    </row>
    <row r="50" spans="1:20" s="719" customFormat="1" ht="22.5" customHeight="1">
      <c r="A50" s="54" t="s">
        <v>231</v>
      </c>
      <c r="B50" s="50" t="s">
        <v>215</v>
      </c>
      <c r="C50" s="51" t="s">
        <v>216</v>
      </c>
      <c r="D50" s="52" t="s">
        <v>26</v>
      </c>
      <c r="E50" s="53">
        <f>SUM(D51:D61)</f>
        <v>202.755</v>
      </c>
      <c r="F50" s="53">
        <v>0</v>
      </c>
      <c r="G50" s="26">
        <f>$E50*F50</f>
        <v>0</v>
      </c>
      <c r="H50" s="48"/>
      <c r="I50" s="48"/>
      <c r="J50" s="48">
        <v>-0.023</v>
      </c>
      <c r="K50" s="646">
        <f>E50*J50</f>
        <v>-4.663365</v>
      </c>
      <c r="L50" s="718"/>
      <c r="M50" s="718"/>
      <c r="N50" s="718"/>
      <c r="O50" s="718"/>
      <c r="P50" s="718"/>
      <c r="Q50" s="718"/>
      <c r="R50" s="718"/>
      <c r="T50" s="720"/>
    </row>
    <row r="51" spans="1:20" s="39" customFormat="1" ht="15.75" customHeight="1">
      <c r="A51" s="31"/>
      <c r="B51" s="32" t="s">
        <v>178</v>
      </c>
      <c r="C51" s="33" t="s">
        <v>249</v>
      </c>
      <c r="D51" s="34">
        <f>1.5*3.9*2</f>
        <v>11.7</v>
      </c>
      <c r="E51" s="35"/>
      <c r="F51" s="35"/>
      <c r="G51" s="36"/>
      <c r="H51" s="48"/>
      <c r="I51" s="646"/>
      <c r="J51" s="48"/>
      <c r="K51" s="646"/>
      <c r="L51" s="49"/>
      <c r="M51" s="38"/>
      <c r="N51" s="38"/>
      <c r="O51" s="38"/>
      <c r="P51" s="38"/>
      <c r="Q51" s="38"/>
      <c r="R51" s="38"/>
      <c r="T51" s="40"/>
    </row>
    <row r="52" spans="1:20" s="39" customFormat="1" ht="15.75" customHeight="1">
      <c r="A52" s="31"/>
      <c r="B52" s="32" t="s">
        <v>179</v>
      </c>
      <c r="C52" s="33" t="s">
        <v>250</v>
      </c>
      <c r="D52" s="34">
        <f>5.9*3.9*3</f>
        <v>69.03</v>
      </c>
      <c r="E52" s="35"/>
      <c r="F52" s="35"/>
      <c r="G52" s="36"/>
      <c r="H52" s="48"/>
      <c r="I52" s="646"/>
      <c r="J52" s="48"/>
      <c r="K52" s="646"/>
      <c r="L52" s="49"/>
      <c r="M52" s="38"/>
      <c r="N52" s="38"/>
      <c r="O52" s="38"/>
      <c r="P52" s="38"/>
      <c r="Q52" s="38"/>
      <c r="R52" s="38"/>
      <c r="T52" s="40"/>
    </row>
    <row r="53" spans="1:20" s="39" customFormat="1" ht="15.75" customHeight="1">
      <c r="A53" s="31"/>
      <c r="B53" s="32" t="s">
        <v>182</v>
      </c>
      <c r="C53" s="33" t="s">
        <v>251</v>
      </c>
      <c r="D53" s="34">
        <f>2.75*3.9*1</f>
        <v>10.725</v>
      </c>
      <c r="E53" s="35"/>
      <c r="F53" s="35"/>
      <c r="G53" s="36"/>
      <c r="H53" s="48"/>
      <c r="I53" s="646"/>
      <c r="J53" s="48"/>
      <c r="K53" s="646"/>
      <c r="L53" s="49"/>
      <c r="M53" s="38"/>
      <c r="N53" s="38"/>
      <c r="O53" s="38"/>
      <c r="P53" s="38"/>
      <c r="Q53" s="38"/>
      <c r="R53" s="38"/>
      <c r="T53" s="40"/>
    </row>
    <row r="54" spans="1:20" s="39" customFormat="1" ht="15.75" customHeight="1">
      <c r="A54" s="31"/>
      <c r="B54" s="32" t="s">
        <v>184</v>
      </c>
      <c r="C54" s="33" t="s">
        <v>252</v>
      </c>
      <c r="D54" s="34">
        <f>2.6*1.8*1</f>
        <v>4.680000000000001</v>
      </c>
      <c r="E54" s="35"/>
      <c r="F54" s="35"/>
      <c r="G54" s="36"/>
      <c r="H54" s="48"/>
      <c r="I54" s="646"/>
      <c r="J54" s="48"/>
      <c r="K54" s="646"/>
      <c r="L54" s="49"/>
      <c r="M54" s="38"/>
      <c r="N54" s="38"/>
      <c r="O54" s="38"/>
      <c r="P54" s="38"/>
      <c r="Q54" s="38"/>
      <c r="R54" s="38"/>
      <c r="T54" s="40"/>
    </row>
    <row r="55" spans="1:20" s="39" customFormat="1" ht="15.75" customHeight="1">
      <c r="A55" s="31"/>
      <c r="B55" s="32" t="s">
        <v>186</v>
      </c>
      <c r="C55" s="33" t="s">
        <v>253</v>
      </c>
      <c r="D55" s="34">
        <f>3.1*2.9*1</f>
        <v>8.99</v>
      </c>
      <c r="E55" s="35"/>
      <c r="F55" s="35"/>
      <c r="G55" s="36"/>
      <c r="H55" s="48"/>
      <c r="I55" s="646"/>
      <c r="J55" s="48"/>
      <c r="K55" s="646"/>
      <c r="L55" s="49"/>
      <c r="M55" s="38"/>
      <c r="N55" s="38"/>
      <c r="O55" s="38"/>
      <c r="P55" s="38"/>
      <c r="Q55" s="38"/>
      <c r="R55" s="38"/>
      <c r="T55" s="40"/>
    </row>
    <row r="56" spans="1:20" s="39" customFormat="1" ht="15.75" customHeight="1">
      <c r="A56" s="31"/>
      <c r="B56" s="32" t="s">
        <v>188</v>
      </c>
      <c r="C56" s="33" t="s">
        <v>254</v>
      </c>
      <c r="D56" s="34">
        <f>1.5*2.1*2</f>
        <v>6.300000000000001</v>
      </c>
      <c r="E56" s="35"/>
      <c r="F56" s="35"/>
      <c r="G56" s="36"/>
      <c r="H56" s="48"/>
      <c r="I56" s="690"/>
      <c r="J56" s="48"/>
      <c r="K56" s="646"/>
      <c r="L56" s="49"/>
      <c r="M56" s="38"/>
      <c r="N56" s="38"/>
      <c r="O56" s="38"/>
      <c r="P56" s="38"/>
      <c r="Q56" s="38"/>
      <c r="R56" s="38"/>
      <c r="T56" s="40"/>
    </row>
    <row r="57" spans="1:20" s="39" customFormat="1" ht="15.75" customHeight="1">
      <c r="A57" s="31"/>
      <c r="B57" s="32" t="s">
        <v>189</v>
      </c>
      <c r="C57" s="33" t="s">
        <v>255</v>
      </c>
      <c r="D57" s="34">
        <f>2.55*2.1*8</f>
        <v>42.839999999999996</v>
      </c>
      <c r="E57" s="35"/>
      <c r="F57" s="35"/>
      <c r="G57" s="36"/>
      <c r="H57" s="48"/>
      <c r="I57" s="699"/>
      <c r="J57" s="48"/>
      <c r="K57" s="646"/>
      <c r="L57" s="49"/>
      <c r="M57" s="38"/>
      <c r="N57" s="38"/>
      <c r="O57" s="38"/>
      <c r="P57" s="38"/>
      <c r="Q57" s="38"/>
      <c r="R57" s="38"/>
      <c r="T57" s="40"/>
    </row>
    <row r="58" spans="1:20" s="39" customFormat="1" ht="15.75" customHeight="1">
      <c r="A58" s="31"/>
      <c r="B58" s="32" t="s">
        <v>192</v>
      </c>
      <c r="C58" s="33" t="s">
        <v>256</v>
      </c>
      <c r="D58" s="34">
        <f>2.6*5*1</f>
        <v>13</v>
      </c>
      <c r="E58" s="35"/>
      <c r="F58" s="35"/>
      <c r="G58" s="36"/>
      <c r="H58" s="48"/>
      <c r="I58" s="700"/>
      <c r="J58" s="48"/>
      <c r="K58" s="646"/>
      <c r="L58" s="49"/>
      <c r="M58" s="38"/>
      <c r="N58" s="38"/>
      <c r="O58" s="38"/>
      <c r="P58" s="38"/>
      <c r="Q58" s="38"/>
      <c r="R58" s="38"/>
      <c r="T58" s="40"/>
    </row>
    <row r="59" spans="1:20" s="39" customFormat="1" ht="15.75" customHeight="1">
      <c r="A59" s="31"/>
      <c r="B59" s="32" t="s">
        <v>262</v>
      </c>
      <c r="C59" s="33" t="s">
        <v>265</v>
      </c>
      <c r="D59" s="34">
        <f>4.6*3.9*1</f>
        <v>17.939999999999998</v>
      </c>
      <c r="E59" s="35"/>
      <c r="F59" s="35"/>
      <c r="G59" s="36"/>
      <c r="H59" s="48"/>
      <c r="I59" s="717"/>
      <c r="J59" s="48"/>
      <c r="K59" s="646"/>
      <c r="L59" s="49"/>
      <c r="M59" s="38"/>
      <c r="N59" s="38"/>
      <c r="O59" s="38"/>
      <c r="P59" s="38"/>
      <c r="Q59" s="38"/>
      <c r="R59" s="38"/>
      <c r="T59" s="40"/>
    </row>
    <row r="60" spans="1:20" s="39" customFormat="1" ht="15.75" customHeight="1">
      <c r="A60" s="31"/>
      <c r="B60" s="32" t="s">
        <v>263</v>
      </c>
      <c r="C60" s="33" t="s">
        <v>266</v>
      </c>
      <c r="D60" s="34">
        <f>3.1*3.9</f>
        <v>12.09</v>
      </c>
      <c r="E60" s="35"/>
      <c r="F60" s="35"/>
      <c r="G60" s="36"/>
      <c r="H60" s="48"/>
      <c r="I60" s="702"/>
      <c r="J60" s="48"/>
      <c r="K60" s="646"/>
      <c r="L60" s="49"/>
      <c r="M60" s="38"/>
      <c r="N60" s="38"/>
      <c r="O60" s="38"/>
      <c r="P60" s="38"/>
      <c r="Q60" s="38"/>
      <c r="R60" s="38"/>
      <c r="T60" s="40"/>
    </row>
    <row r="61" spans="1:20" s="39" customFormat="1" ht="15.75" customHeight="1">
      <c r="A61" s="31"/>
      <c r="B61" s="32" t="s">
        <v>264</v>
      </c>
      <c r="C61" s="33" t="s">
        <v>267</v>
      </c>
      <c r="D61" s="34">
        <f>1.4*3.9</f>
        <v>5.46</v>
      </c>
      <c r="E61" s="35"/>
      <c r="F61" s="35"/>
      <c r="G61" s="36"/>
      <c r="H61" s="48"/>
      <c r="I61" s="646"/>
      <c r="J61" s="48"/>
      <c r="K61" s="646"/>
      <c r="L61" s="49"/>
      <c r="M61" s="38"/>
      <c r="N61" s="38"/>
      <c r="O61" s="38"/>
      <c r="P61" s="38"/>
      <c r="Q61" s="38"/>
      <c r="R61" s="38"/>
      <c r="T61" s="40"/>
    </row>
    <row r="62" spans="1:20" s="39" customFormat="1" ht="15.75" customHeight="1">
      <c r="A62" s="31"/>
      <c r="B62" s="32"/>
      <c r="C62" s="33"/>
      <c r="D62" s="34"/>
      <c r="E62" s="35"/>
      <c r="F62" s="35"/>
      <c r="G62" s="36"/>
      <c r="H62" s="48"/>
      <c r="I62" s="646"/>
      <c r="J62" s="48"/>
      <c r="K62" s="646"/>
      <c r="L62" s="49"/>
      <c r="M62" s="38"/>
      <c r="N62" s="38"/>
      <c r="O62" s="38"/>
      <c r="P62" s="38"/>
      <c r="Q62" s="38"/>
      <c r="R62" s="38"/>
      <c r="T62" s="40"/>
    </row>
    <row r="63" spans="1:20" s="719" customFormat="1" ht="32.25" customHeight="1">
      <c r="A63" s="54" t="s">
        <v>232</v>
      </c>
      <c r="B63" s="50" t="s">
        <v>217</v>
      </c>
      <c r="C63" s="51" t="s">
        <v>218</v>
      </c>
      <c r="D63" s="52" t="s">
        <v>26</v>
      </c>
      <c r="E63" s="53">
        <f>SUM(D64)</f>
        <v>8.4</v>
      </c>
      <c r="F63" s="53">
        <v>0</v>
      </c>
      <c r="G63" s="26">
        <f>$E63*F63</f>
        <v>0</v>
      </c>
      <c r="H63" s="48"/>
      <c r="I63" s="48"/>
      <c r="J63" s="48">
        <v>-0.065</v>
      </c>
      <c r="K63" s="646">
        <f>E63*J63</f>
        <v>-0.546</v>
      </c>
      <c r="L63" s="718"/>
      <c r="M63" s="718"/>
      <c r="N63" s="718"/>
      <c r="O63" s="718"/>
      <c r="P63" s="718"/>
      <c r="Q63" s="718"/>
      <c r="R63" s="718"/>
      <c r="T63" s="720"/>
    </row>
    <row r="64" spans="1:20" s="39" customFormat="1" ht="15.75" customHeight="1">
      <c r="A64" s="31"/>
      <c r="B64" s="32"/>
      <c r="C64" s="33" t="s">
        <v>248</v>
      </c>
      <c r="D64" s="34">
        <f>0.5*2.1*8</f>
        <v>8.4</v>
      </c>
      <c r="E64" s="35"/>
      <c r="F64" s="35"/>
      <c r="G64" s="36"/>
      <c r="H64" s="48"/>
      <c r="I64" s="646"/>
      <c r="J64" s="48"/>
      <c r="K64" s="646"/>
      <c r="L64" s="49"/>
      <c r="M64" s="38"/>
      <c r="N64" s="38"/>
      <c r="O64" s="38"/>
      <c r="P64" s="38"/>
      <c r="Q64" s="38"/>
      <c r="R64" s="38"/>
      <c r="T64" s="40"/>
    </row>
    <row r="65" spans="1:20" s="719" customFormat="1" ht="24" customHeight="1">
      <c r="A65" s="452" t="s">
        <v>233</v>
      </c>
      <c r="B65" s="50" t="s">
        <v>221</v>
      </c>
      <c r="C65" s="51" t="s">
        <v>222</v>
      </c>
      <c r="D65" s="52" t="s">
        <v>26</v>
      </c>
      <c r="E65" s="53">
        <f>SUM(D66)</f>
        <v>202.76</v>
      </c>
      <c r="F65" s="53">
        <v>0</v>
      </c>
      <c r="G65" s="26">
        <f>$E65*F65</f>
        <v>0</v>
      </c>
      <c r="H65" s="48"/>
      <c r="I65" s="194"/>
      <c r="J65" s="48"/>
      <c r="K65" s="44"/>
      <c r="L65" s="718"/>
      <c r="M65" s="718"/>
      <c r="N65" s="718"/>
      <c r="O65" s="718"/>
      <c r="P65" s="718"/>
      <c r="Q65" s="718"/>
      <c r="R65" s="718"/>
      <c r="T65" s="720"/>
    </row>
    <row r="66" spans="1:20" s="39" customFormat="1" ht="15.75" customHeight="1">
      <c r="A66" s="452"/>
      <c r="B66" s="32"/>
      <c r="C66" s="33">
        <v>202.76</v>
      </c>
      <c r="D66" s="34">
        <v>202.76</v>
      </c>
      <c r="E66" s="35"/>
      <c r="F66" s="35"/>
      <c r="G66" s="36"/>
      <c r="H66" s="48"/>
      <c r="I66" s="44"/>
      <c r="J66" s="48"/>
      <c r="K66" s="44"/>
      <c r="L66" s="49"/>
      <c r="M66" s="38"/>
      <c r="N66" s="38"/>
      <c r="O66" s="38"/>
      <c r="P66" s="38"/>
      <c r="Q66" s="38"/>
      <c r="R66" s="38"/>
      <c r="T66" s="40"/>
    </row>
    <row r="67" spans="1:20" s="719" customFormat="1" ht="24" customHeight="1">
      <c r="A67" s="452" t="s">
        <v>375</v>
      </c>
      <c r="B67" s="50" t="s">
        <v>286</v>
      </c>
      <c r="C67" s="51" t="s">
        <v>287</v>
      </c>
      <c r="D67" s="52" t="s">
        <v>288</v>
      </c>
      <c r="E67" s="53">
        <f>SUM(D68)</f>
        <v>29.099999999999998</v>
      </c>
      <c r="F67" s="53">
        <v>0</v>
      </c>
      <c r="G67" s="26">
        <f>$E67*F67</f>
        <v>0</v>
      </c>
      <c r="H67" s="48"/>
      <c r="I67" s="194"/>
      <c r="J67" s="48">
        <v>-0.01113</v>
      </c>
      <c r="K67" s="646">
        <f>E67*J67</f>
        <v>-0.323883</v>
      </c>
      <c r="L67" s="718"/>
      <c r="M67" s="718"/>
      <c r="N67" s="718"/>
      <c r="O67" s="718"/>
      <c r="P67" s="718"/>
      <c r="Q67" s="718"/>
      <c r="R67" s="718"/>
      <c r="T67" s="720"/>
    </row>
    <row r="68" spans="1:20" s="39" customFormat="1" ht="15.75" customHeight="1">
      <c r="A68" s="452"/>
      <c r="B68" s="32"/>
      <c r="C68" s="33" t="s">
        <v>289</v>
      </c>
      <c r="D68" s="34">
        <f>2.6+3.1+1.5*2+2.55*8</f>
        <v>29.099999999999998</v>
      </c>
      <c r="E68" s="35"/>
      <c r="F68" s="35"/>
      <c r="G68" s="36"/>
      <c r="H68" s="48"/>
      <c r="I68" s="44"/>
      <c r="J68" s="48"/>
      <c r="K68" s="44"/>
      <c r="L68" s="49"/>
      <c r="M68" s="38"/>
      <c r="N68" s="38"/>
      <c r="O68" s="38"/>
      <c r="P68" s="38"/>
      <c r="Q68" s="38"/>
      <c r="R68" s="38"/>
      <c r="T68" s="40"/>
    </row>
    <row r="69" spans="1:17" s="29" customFormat="1" ht="20.25" customHeight="1">
      <c r="A69" s="20" t="s">
        <v>376</v>
      </c>
      <c r="B69" s="21" t="s">
        <v>219</v>
      </c>
      <c r="C69" s="22" t="s">
        <v>220</v>
      </c>
      <c r="D69" s="23" t="s">
        <v>26</v>
      </c>
      <c r="E69" s="24">
        <f>SUM(D70:D70)</f>
        <v>113.8</v>
      </c>
      <c r="F69" s="25">
        <v>0</v>
      </c>
      <c r="G69" s="26">
        <f>$E69*F69</f>
        <v>0</v>
      </c>
      <c r="H69" s="649"/>
      <c r="I69" s="649"/>
      <c r="J69" s="649">
        <v>0</v>
      </c>
      <c r="K69" s="649">
        <f>E69*J69</f>
        <v>0</v>
      </c>
      <c r="L69" s="650"/>
      <c r="M69" s="650"/>
      <c r="Q69" s="651"/>
    </row>
    <row r="70" spans="1:13" s="149" customFormat="1" ht="20.25" customHeight="1">
      <c r="A70" s="147"/>
      <c r="B70" s="412"/>
      <c r="C70" s="640" t="s">
        <v>285</v>
      </c>
      <c r="D70" s="641">
        <f>19.2*3.9*2+19.2*3.2*2-185.2-5.46-8.4+40.22</f>
        <v>113.8</v>
      </c>
      <c r="E70" s="642"/>
      <c r="F70" s="148"/>
      <c r="G70" s="643"/>
      <c r="H70" s="413"/>
      <c r="I70" s="413"/>
      <c r="J70" s="413"/>
      <c r="K70" s="413"/>
      <c r="L70" s="644"/>
      <c r="M70" s="644"/>
    </row>
    <row r="71" spans="1:13" s="685" customFormat="1" ht="15.75" customHeight="1">
      <c r="A71" s="676"/>
      <c r="B71" s="677"/>
      <c r="C71" s="678"/>
      <c r="D71" s="679"/>
      <c r="E71" s="680"/>
      <c r="F71" s="681"/>
      <c r="G71" s="682"/>
      <c r="H71" s="683"/>
      <c r="I71" s="683"/>
      <c r="J71" s="683"/>
      <c r="K71" s="683"/>
      <c r="L71" s="684"/>
      <c r="M71" s="684"/>
    </row>
    <row r="72" spans="1:41" s="334" customFormat="1" ht="16.5" customHeight="1">
      <c r="A72" s="452" t="s">
        <v>377</v>
      </c>
      <c r="B72" s="298" t="s">
        <v>122</v>
      </c>
      <c r="C72" s="331" t="s">
        <v>123</v>
      </c>
      <c r="D72" s="332" t="s">
        <v>26</v>
      </c>
      <c r="E72" s="299">
        <f>SUM(D73)</f>
        <v>3.9</v>
      </c>
      <c r="F72" s="299">
        <v>0</v>
      </c>
      <c r="G72" s="26">
        <f>$E72*F72</f>
        <v>0</v>
      </c>
      <c r="H72" s="301"/>
      <c r="I72" s="301"/>
      <c r="J72" s="301">
        <v>-0.06</v>
      </c>
      <c r="K72" s="649">
        <f>E72*J72</f>
        <v>-0.23399999999999999</v>
      </c>
      <c r="L72" s="333"/>
      <c r="M72" s="333"/>
      <c r="N72" s="333"/>
      <c r="O72" s="333"/>
      <c r="P72" s="333"/>
      <c r="Q72" s="333"/>
      <c r="R72" s="333"/>
      <c r="T72" s="335"/>
      <c r="X72" s="334">
        <f>IF(AB72=0,I72,0)</f>
        <v>0</v>
      </c>
      <c r="Y72" s="334">
        <f>IF(AB72=15,I72,0)</f>
        <v>0</v>
      </c>
      <c r="Z72" s="334">
        <f>IF(AB72=21,I72,0)</f>
        <v>0</v>
      </c>
      <c r="AB72" s="334">
        <v>21</v>
      </c>
      <c r="AC72" s="334">
        <f>F72*0</f>
        <v>0</v>
      </c>
      <c r="AD72" s="334">
        <f>F72*(1-0)</f>
        <v>0</v>
      </c>
      <c r="AK72" s="334">
        <f>E72*AC72</f>
        <v>0</v>
      </c>
      <c r="AL72" s="334">
        <f>E72*AD72</f>
        <v>0</v>
      </c>
      <c r="AM72" s="334" t="s">
        <v>124</v>
      </c>
      <c r="AN72" s="334" t="s">
        <v>125</v>
      </c>
      <c r="AO72" s="334" t="s">
        <v>126</v>
      </c>
    </row>
    <row r="73" spans="1:20" s="296" customFormat="1" ht="16.5" customHeight="1">
      <c r="A73" s="452"/>
      <c r="B73" s="291" t="s">
        <v>283</v>
      </c>
      <c r="C73" s="336" t="s">
        <v>269</v>
      </c>
      <c r="D73" s="292">
        <f>((1*1.5)/2)*2+1.9*1+0.5*1</f>
        <v>3.9</v>
      </c>
      <c r="E73" s="337"/>
      <c r="F73" s="292"/>
      <c r="G73" s="293"/>
      <c r="H73" s="294"/>
      <c r="I73" s="294"/>
      <c r="J73" s="294"/>
      <c r="K73" s="294"/>
      <c r="L73" s="295"/>
      <c r="M73" s="295"/>
      <c r="N73" s="295"/>
      <c r="O73" s="295"/>
      <c r="P73" s="295"/>
      <c r="Q73" s="295"/>
      <c r="R73" s="295"/>
      <c r="T73" s="297"/>
    </row>
    <row r="74" spans="1:20" s="39" customFormat="1" ht="15.75" customHeight="1">
      <c r="A74" s="31"/>
      <c r="B74" s="32"/>
      <c r="C74" s="33"/>
      <c r="D74" s="34"/>
      <c r="E74" s="35"/>
      <c r="F74" s="35"/>
      <c r="G74" s="36"/>
      <c r="H74" s="48"/>
      <c r="I74" s="646"/>
      <c r="J74" s="48"/>
      <c r="K74" s="646"/>
      <c r="L74" s="49"/>
      <c r="M74" s="38"/>
      <c r="N74" s="38"/>
      <c r="O74" s="38"/>
      <c r="P74" s="38"/>
      <c r="Q74" s="38"/>
      <c r="R74" s="38"/>
      <c r="T74" s="40"/>
    </row>
    <row r="75" spans="1:59" s="654" customFormat="1" ht="18.75" customHeight="1">
      <c r="A75" s="452" t="s">
        <v>378</v>
      </c>
      <c r="B75" s="303" t="s">
        <v>128</v>
      </c>
      <c r="C75" s="304" t="s">
        <v>127</v>
      </c>
      <c r="D75" s="305" t="s">
        <v>26</v>
      </c>
      <c r="E75" s="24">
        <f>SUM(D76)</f>
        <v>7.4</v>
      </c>
      <c r="F75" s="381">
        <v>0</v>
      </c>
      <c r="G75" s="26">
        <f>$E75*F75</f>
        <v>0</v>
      </c>
      <c r="H75" s="652"/>
      <c r="I75" s="652"/>
      <c r="J75" s="652">
        <v>-0.05</v>
      </c>
      <c r="K75" s="649">
        <f>E75*J75</f>
        <v>-0.37000000000000005</v>
      </c>
      <c r="L75" s="653"/>
      <c r="M75" s="653"/>
      <c r="Q75" s="655"/>
      <c r="AA75" s="654">
        <v>12</v>
      </c>
      <c r="AB75" s="654">
        <v>0</v>
      </c>
      <c r="AC75" s="654">
        <v>31</v>
      </c>
      <c r="BB75" s="654">
        <v>1</v>
      </c>
      <c r="BC75" s="654">
        <f>IF(BB75=1,G75,0)</f>
        <v>0</v>
      </c>
      <c r="BD75" s="654">
        <f>IF(BB75=2,G75,0)</f>
        <v>0</v>
      </c>
      <c r="BE75" s="654">
        <f>IF(BB75=3,G75,0)</f>
        <v>0</v>
      </c>
      <c r="BF75" s="654">
        <f>IF(BB75=4,G75,0)</f>
        <v>0</v>
      </c>
      <c r="BG75" s="654">
        <f>IF(BB75=5,G75,0)</f>
        <v>0</v>
      </c>
    </row>
    <row r="76" spans="1:13" s="461" customFormat="1" ht="18.75" customHeight="1">
      <c r="A76" s="452"/>
      <c r="B76" s="456"/>
      <c r="C76" s="33">
        <v>7.4</v>
      </c>
      <c r="D76" s="457">
        <v>7.4</v>
      </c>
      <c r="E76" s="146"/>
      <c r="F76" s="458"/>
      <c r="G76" s="614"/>
      <c r="H76" s="459"/>
      <c r="I76" s="459"/>
      <c r="J76" s="459"/>
      <c r="K76" s="459"/>
      <c r="L76" s="460"/>
      <c r="M76" s="460"/>
    </row>
    <row r="77" spans="1:17" s="654" customFormat="1" ht="18.75" customHeight="1">
      <c r="A77" s="452" t="s">
        <v>379</v>
      </c>
      <c r="B77" s="303" t="s">
        <v>223</v>
      </c>
      <c r="C77" s="304" t="s">
        <v>224</v>
      </c>
      <c r="D77" s="305" t="s">
        <v>169</v>
      </c>
      <c r="E77" s="24">
        <v>55</v>
      </c>
      <c r="F77" s="381">
        <v>0</v>
      </c>
      <c r="G77" s="26">
        <f>$E77*F77</f>
        <v>0</v>
      </c>
      <c r="H77" s="652"/>
      <c r="I77" s="652"/>
      <c r="J77" s="652">
        <v>-0.001</v>
      </c>
      <c r="K77" s="649">
        <f>E77*J77</f>
        <v>-0.055</v>
      </c>
      <c r="L77" s="653"/>
      <c r="M77" s="653"/>
      <c r="Q77" s="655"/>
    </row>
    <row r="78" spans="1:13" s="654" customFormat="1" ht="18.75" customHeight="1">
      <c r="A78" s="452" t="s">
        <v>380</v>
      </c>
      <c r="B78" s="303" t="s">
        <v>275</v>
      </c>
      <c r="C78" s="304" t="s">
        <v>259</v>
      </c>
      <c r="D78" s="721" t="s">
        <v>31</v>
      </c>
      <c r="E78" s="24">
        <f>SUM(D79)</f>
        <v>50.550000000000004</v>
      </c>
      <c r="F78" s="381">
        <v>0</v>
      </c>
      <c r="G78" s="26">
        <f>$E78*F78</f>
        <v>0</v>
      </c>
      <c r="H78" s="722"/>
      <c r="I78" s="722"/>
      <c r="J78" s="382">
        <v>-0.00135</v>
      </c>
      <c r="K78" s="649">
        <f>E78*J78</f>
        <v>-0.06824250000000001</v>
      </c>
      <c r="L78" s="723"/>
      <c r="M78" s="723"/>
    </row>
    <row r="79" spans="1:20" s="39" customFormat="1" ht="15.75" customHeight="1">
      <c r="A79" s="31"/>
      <c r="B79" s="32"/>
      <c r="C79" s="33" t="s">
        <v>270</v>
      </c>
      <c r="D79" s="34">
        <f>13.55*2+1.5*2+5.9*3+2.75*1</f>
        <v>50.550000000000004</v>
      </c>
      <c r="E79" s="35"/>
      <c r="F79" s="35"/>
      <c r="G79" s="36"/>
      <c r="H79" s="48"/>
      <c r="I79" s="646"/>
      <c r="J79" s="48"/>
      <c r="K79" s="646"/>
      <c r="L79" s="49"/>
      <c r="M79" s="38"/>
      <c r="N79" s="38"/>
      <c r="O79" s="38"/>
      <c r="P79" s="38"/>
      <c r="Q79" s="38"/>
      <c r="R79" s="38"/>
      <c r="T79" s="40"/>
    </row>
    <row r="80" spans="1:20" s="39" customFormat="1" ht="16.5" customHeight="1">
      <c r="A80" s="31"/>
      <c r="B80" s="32"/>
      <c r="C80" s="686"/>
      <c r="D80" s="34"/>
      <c r="E80" s="35"/>
      <c r="F80" s="35"/>
      <c r="G80" s="36"/>
      <c r="H80" s="48"/>
      <c r="I80" s="44"/>
      <c r="J80" s="48"/>
      <c r="K80" s="44"/>
      <c r="L80" s="49"/>
      <c r="M80" s="38"/>
      <c r="N80" s="38"/>
      <c r="O80" s="38"/>
      <c r="P80" s="38"/>
      <c r="Q80" s="38"/>
      <c r="R80" s="38"/>
      <c r="T80" s="40"/>
    </row>
    <row r="81" spans="1:20" s="659" customFormat="1" ht="28.5" customHeight="1">
      <c r="A81" s="20" t="s">
        <v>381</v>
      </c>
      <c r="B81" s="50" t="s">
        <v>115</v>
      </c>
      <c r="C81" s="51" t="s">
        <v>32</v>
      </c>
      <c r="D81" s="52" t="s">
        <v>33</v>
      </c>
      <c r="E81" s="53">
        <f>-K81</f>
        <v>7.8196905</v>
      </c>
      <c r="F81" s="53">
        <v>0</v>
      </c>
      <c r="G81" s="26">
        <f aca="true" t="shared" si="4" ref="G81:G85">$E81*F81</f>
        <v>0</v>
      </c>
      <c r="H81" s="48"/>
      <c r="I81" s="656">
        <f>SUM(I41:I80)</f>
        <v>0</v>
      </c>
      <c r="J81" s="657"/>
      <c r="K81" s="656">
        <f>SUM(K42:K80)</f>
        <v>-7.8196905</v>
      </c>
      <c r="L81" s="49"/>
      <c r="M81" s="658"/>
      <c r="N81" s="658"/>
      <c r="O81" s="658"/>
      <c r="P81" s="658"/>
      <c r="Q81" s="658"/>
      <c r="R81" s="658"/>
      <c r="T81" s="660"/>
    </row>
    <row r="82" spans="1:20" s="659" customFormat="1" ht="22.5" customHeight="1">
      <c r="A82" s="20" t="s">
        <v>382</v>
      </c>
      <c r="B82" s="50" t="s">
        <v>118</v>
      </c>
      <c r="C82" s="51" t="s">
        <v>290</v>
      </c>
      <c r="D82" s="52" t="s">
        <v>33</v>
      </c>
      <c r="E82" s="53">
        <f>E81*9</f>
        <v>70.37721450000001</v>
      </c>
      <c r="F82" s="53">
        <v>0</v>
      </c>
      <c r="G82" s="26">
        <f t="shared" si="4"/>
        <v>0</v>
      </c>
      <c r="H82" s="48"/>
      <c r="I82" s="44"/>
      <c r="J82" s="48"/>
      <c r="K82" s="44"/>
      <c r="L82" s="49"/>
      <c r="M82" s="658"/>
      <c r="N82" s="658"/>
      <c r="O82" s="658"/>
      <c r="P82" s="658"/>
      <c r="Q82" s="658"/>
      <c r="R82" s="658"/>
      <c r="T82" s="660"/>
    </row>
    <row r="83" spans="1:20" s="659" customFormat="1" ht="23.25" customHeight="1">
      <c r="A83" s="20" t="s">
        <v>383</v>
      </c>
      <c r="B83" s="50" t="s">
        <v>116</v>
      </c>
      <c r="C83" s="51" t="s">
        <v>117</v>
      </c>
      <c r="D83" s="52" t="s">
        <v>33</v>
      </c>
      <c r="E83" s="53">
        <f>-(K75+K72+K43+K45)</f>
        <v>2.1632000000000002</v>
      </c>
      <c r="F83" s="53">
        <v>0</v>
      </c>
      <c r="G83" s="26">
        <f t="shared" si="4"/>
        <v>0</v>
      </c>
      <c r="H83" s="48"/>
      <c r="I83" s="44"/>
      <c r="J83" s="48"/>
      <c r="K83" s="44"/>
      <c r="L83" s="658"/>
      <c r="M83" s="658"/>
      <c r="N83" s="658"/>
      <c r="O83" s="658"/>
      <c r="P83" s="658"/>
      <c r="Q83" s="658"/>
      <c r="R83" s="658"/>
      <c r="T83" s="660"/>
    </row>
    <row r="84" spans="1:20" s="29" customFormat="1" ht="21" customHeight="1">
      <c r="A84" s="20" t="s">
        <v>384</v>
      </c>
      <c r="B84" s="21" t="s">
        <v>120</v>
      </c>
      <c r="C84" s="22" t="s">
        <v>121</v>
      </c>
      <c r="D84" s="23" t="s">
        <v>33</v>
      </c>
      <c r="E84" s="724">
        <f>-(K50+K63+K67)</f>
        <v>5.533248</v>
      </c>
      <c r="F84" s="25">
        <v>0</v>
      </c>
      <c r="G84" s="26">
        <f t="shared" si="4"/>
        <v>0</v>
      </c>
      <c r="H84" s="27"/>
      <c r="I84" s="27"/>
      <c r="J84" s="27"/>
      <c r="K84" s="27"/>
      <c r="L84" s="28"/>
      <c r="M84" s="28"/>
      <c r="N84" s="28"/>
      <c r="O84" s="28"/>
      <c r="P84" s="28"/>
      <c r="Q84" s="28"/>
      <c r="R84" s="28"/>
      <c r="T84" s="30"/>
    </row>
    <row r="85" spans="1:20" s="29" customFormat="1" ht="21" customHeight="1">
      <c r="A85" s="20" t="s">
        <v>385</v>
      </c>
      <c r="B85" s="21" t="s">
        <v>292</v>
      </c>
      <c r="C85" s="22" t="s">
        <v>291</v>
      </c>
      <c r="D85" s="23" t="s">
        <v>33</v>
      </c>
      <c r="E85" s="724">
        <f>(K77+K78)</f>
        <v>-0.1232425</v>
      </c>
      <c r="F85" s="25">
        <v>0</v>
      </c>
      <c r="G85" s="26">
        <f t="shared" si="4"/>
        <v>0</v>
      </c>
      <c r="H85" s="27"/>
      <c r="I85" s="27"/>
      <c r="J85" s="27"/>
      <c r="K85" s="27"/>
      <c r="L85" s="28"/>
      <c r="M85" s="28"/>
      <c r="N85" s="28"/>
      <c r="O85" s="28"/>
      <c r="P85" s="28"/>
      <c r="Q85" s="28"/>
      <c r="R85" s="28"/>
      <c r="T85" s="30"/>
    </row>
    <row r="86" spans="1:20" s="57" customFormat="1" ht="11.25" customHeight="1" thickBot="1">
      <c r="A86" s="59"/>
      <c r="B86" s="60"/>
      <c r="C86" s="338"/>
      <c r="D86" s="61"/>
      <c r="E86" s="62"/>
      <c r="F86" s="63"/>
      <c r="G86" s="64"/>
      <c r="H86" s="55"/>
      <c r="I86" s="55"/>
      <c r="J86" s="55"/>
      <c r="K86" s="55"/>
      <c r="L86" s="56"/>
      <c r="M86" s="56"/>
      <c r="N86" s="339"/>
      <c r="O86" s="339"/>
      <c r="P86" s="340"/>
      <c r="Q86" s="341"/>
      <c r="R86" s="56"/>
      <c r="T86" s="58"/>
    </row>
    <row r="87" spans="1:20" s="156" customFormat="1" ht="16.5" customHeight="1" thickBot="1">
      <c r="A87" s="309"/>
      <c r="B87" s="310"/>
      <c r="C87" s="311" t="s">
        <v>34</v>
      </c>
      <c r="D87" s="312"/>
      <c r="E87" s="313"/>
      <c r="F87" s="314"/>
      <c r="G87" s="315">
        <f>SUBTOTAL(9,G42:G86)</f>
        <v>0</v>
      </c>
      <c r="H87" s="176"/>
      <c r="I87" s="262"/>
      <c r="J87" s="176"/>
      <c r="K87" s="176"/>
      <c r="L87" s="155"/>
      <c r="M87" s="155"/>
      <c r="N87" s="155"/>
      <c r="O87" s="155"/>
      <c r="P87" s="155"/>
      <c r="Q87" s="155"/>
      <c r="R87" s="155"/>
      <c r="T87" s="157"/>
    </row>
    <row r="88" spans="1:20" s="156" customFormat="1" ht="13.5" customHeight="1" thickBot="1">
      <c r="A88" s="316"/>
      <c r="B88" s="317"/>
      <c r="C88" s="318"/>
      <c r="D88" s="318"/>
      <c r="E88" s="319"/>
      <c r="F88" s="270"/>
      <c r="G88" s="271"/>
      <c r="H88" s="176"/>
      <c r="I88" s="176"/>
      <c r="J88" s="176"/>
      <c r="K88" s="176"/>
      <c r="L88" s="155"/>
      <c r="M88" s="155"/>
      <c r="N88" s="155"/>
      <c r="O88" s="155"/>
      <c r="P88" s="155"/>
      <c r="Q88" s="155"/>
      <c r="R88" s="155"/>
      <c r="T88" s="157"/>
    </row>
    <row r="89" spans="1:20" s="280" customFormat="1" ht="16.5" customHeight="1" thickBot="1">
      <c r="A89" s="272" t="s">
        <v>35</v>
      </c>
      <c r="B89" s="273" t="s">
        <v>83</v>
      </c>
      <c r="C89" s="274" t="s">
        <v>84</v>
      </c>
      <c r="D89" s="275"/>
      <c r="E89" s="276"/>
      <c r="F89" s="277"/>
      <c r="G89" s="278"/>
      <c r="H89" s="262"/>
      <c r="I89" s="262"/>
      <c r="J89" s="262"/>
      <c r="K89" s="262"/>
      <c r="L89" s="279"/>
      <c r="M89" s="279"/>
      <c r="N89" s="279"/>
      <c r="O89" s="279"/>
      <c r="P89" s="279"/>
      <c r="Q89" s="279"/>
      <c r="R89" s="279"/>
      <c r="T89" s="281"/>
    </row>
    <row r="90" spans="1:20" s="76" customFormat="1" ht="12.75">
      <c r="A90" s="67"/>
      <c r="B90" s="68"/>
      <c r="C90" s="69"/>
      <c r="D90" s="70"/>
      <c r="E90" s="71"/>
      <c r="F90" s="72"/>
      <c r="G90" s="73"/>
      <c r="H90" s="74"/>
      <c r="I90" s="74"/>
      <c r="J90" s="74"/>
      <c r="K90" s="74"/>
      <c r="L90" s="75"/>
      <c r="M90" s="75"/>
      <c r="N90" s="75"/>
      <c r="O90" s="75"/>
      <c r="P90" s="75"/>
      <c r="Q90" s="75"/>
      <c r="R90" s="75"/>
      <c r="T90" s="77"/>
    </row>
    <row r="91" spans="1:20" s="334" customFormat="1" ht="19.5" customHeight="1">
      <c r="A91" s="330" t="s">
        <v>234</v>
      </c>
      <c r="B91" s="298" t="s">
        <v>293</v>
      </c>
      <c r="C91" s="331" t="s">
        <v>294</v>
      </c>
      <c r="D91" s="332" t="s">
        <v>26</v>
      </c>
      <c r="E91" s="299">
        <f>SUM(D92:D93)</f>
        <v>31.85</v>
      </c>
      <c r="F91" s="299">
        <v>0</v>
      </c>
      <c r="G91" s="289">
        <f>$E91*F91</f>
        <v>0</v>
      </c>
      <c r="H91" s="301">
        <v>0.20765</v>
      </c>
      <c r="I91" s="301">
        <f>E91*H91</f>
        <v>6.613652500000001</v>
      </c>
      <c r="J91" s="301"/>
      <c r="K91" s="301"/>
      <c r="L91" s="333"/>
      <c r="M91" s="333"/>
      <c r="N91" s="333"/>
      <c r="O91" s="333"/>
      <c r="P91" s="333"/>
      <c r="Q91" s="333"/>
      <c r="R91" s="333"/>
      <c r="T91" s="335"/>
    </row>
    <row r="92" spans="1:20" s="296" customFormat="1" ht="19.5" customHeight="1">
      <c r="A92" s="290"/>
      <c r="B92" s="291" t="s">
        <v>27</v>
      </c>
      <c r="C92" s="336" t="s">
        <v>271</v>
      </c>
      <c r="D92" s="292">
        <f>1.5*1*2+5.9*1*3+2.75*1*1</f>
        <v>23.450000000000003</v>
      </c>
      <c r="E92" s="337"/>
      <c r="F92" s="292"/>
      <c r="G92" s="293"/>
      <c r="H92" s="294"/>
      <c r="I92" s="294"/>
      <c r="J92" s="294"/>
      <c r="K92" s="294"/>
      <c r="L92" s="295"/>
      <c r="M92" s="295"/>
      <c r="N92" s="295"/>
      <c r="O92" s="295"/>
      <c r="P92" s="295"/>
      <c r="Q92" s="295"/>
      <c r="R92" s="295"/>
      <c r="T92" s="297"/>
    </row>
    <row r="93" spans="1:20" s="296" customFormat="1" ht="19.5" customHeight="1">
      <c r="A93" s="290"/>
      <c r="B93" s="291" t="s">
        <v>30</v>
      </c>
      <c r="C93" s="336" t="s">
        <v>248</v>
      </c>
      <c r="D93" s="292">
        <f>0.5*2.1*8</f>
        <v>8.4</v>
      </c>
      <c r="E93" s="337"/>
      <c r="F93" s="292"/>
      <c r="G93" s="293"/>
      <c r="H93" s="294"/>
      <c r="I93" s="294"/>
      <c r="J93" s="294"/>
      <c r="K93" s="294"/>
      <c r="L93" s="295"/>
      <c r="M93" s="295"/>
      <c r="N93" s="295"/>
      <c r="O93" s="295"/>
      <c r="P93" s="295"/>
      <c r="Q93" s="295"/>
      <c r="R93" s="295"/>
      <c r="T93" s="297"/>
    </row>
    <row r="94" spans="1:20" s="361" customFormat="1" ht="37.5" customHeight="1">
      <c r="A94" s="330" t="s">
        <v>235</v>
      </c>
      <c r="B94" s="298" t="s">
        <v>349</v>
      </c>
      <c r="C94" s="331" t="s">
        <v>260</v>
      </c>
      <c r="D94" s="332" t="s">
        <v>288</v>
      </c>
      <c r="E94" s="299">
        <f>SUM(D95:D96)</f>
        <v>28</v>
      </c>
      <c r="F94" s="299">
        <v>0</v>
      </c>
      <c r="G94" s="289">
        <f>$E94*F94</f>
        <v>0</v>
      </c>
      <c r="H94" s="301">
        <v>0.00102</v>
      </c>
      <c r="I94" s="301">
        <f>E94*H94</f>
        <v>0.028560000000000002</v>
      </c>
      <c r="J94" s="294"/>
      <c r="K94" s="294"/>
      <c r="L94" s="360"/>
      <c r="M94" s="360"/>
      <c r="N94" s="360"/>
      <c r="O94" s="360"/>
      <c r="P94" s="360"/>
      <c r="Q94" s="360"/>
      <c r="R94" s="360"/>
      <c r="T94" s="362"/>
    </row>
    <row r="95" spans="1:20" s="296" customFormat="1" ht="19.5" customHeight="1">
      <c r="A95" s="290"/>
      <c r="B95" s="291" t="s">
        <v>27</v>
      </c>
      <c r="C95" s="336" t="s">
        <v>350</v>
      </c>
      <c r="D95" s="292">
        <f>1*2*2+1*3*2+1*1*2</f>
        <v>12</v>
      </c>
      <c r="E95" s="337"/>
      <c r="F95" s="292"/>
      <c r="G95" s="293"/>
      <c r="H95" s="294"/>
      <c r="I95" s="294"/>
      <c r="J95" s="294"/>
      <c r="K95" s="294"/>
      <c r="L95" s="295"/>
      <c r="M95" s="295"/>
      <c r="N95" s="295"/>
      <c r="O95" s="295"/>
      <c r="P95" s="295"/>
      <c r="Q95" s="295"/>
      <c r="R95" s="295"/>
      <c r="T95" s="297"/>
    </row>
    <row r="96" spans="1:20" s="296" customFormat="1" ht="19.5" customHeight="1">
      <c r="A96" s="290"/>
      <c r="B96" s="291" t="s">
        <v>30</v>
      </c>
      <c r="C96" s="336" t="s">
        <v>351</v>
      </c>
      <c r="D96" s="292">
        <f>8*4*0.5</f>
        <v>16</v>
      </c>
      <c r="E96" s="337"/>
      <c r="F96" s="292"/>
      <c r="G96" s="293"/>
      <c r="H96" s="294"/>
      <c r="I96" s="294"/>
      <c r="J96" s="294"/>
      <c r="K96" s="294"/>
      <c r="L96" s="295"/>
      <c r="M96" s="295"/>
      <c r="N96" s="295"/>
      <c r="O96" s="295"/>
      <c r="P96" s="295"/>
      <c r="Q96" s="295"/>
      <c r="R96" s="295"/>
      <c r="T96" s="297"/>
    </row>
    <row r="97" spans="1:20" s="334" customFormat="1" ht="19.5" customHeight="1">
      <c r="A97" s="330" t="s">
        <v>36</v>
      </c>
      <c r="B97" s="298" t="s">
        <v>273</v>
      </c>
      <c r="C97" s="331" t="s">
        <v>274</v>
      </c>
      <c r="D97" s="332" t="s">
        <v>26</v>
      </c>
      <c r="E97" s="299">
        <f>SUM(D98:D99)</f>
        <v>2.8840000000000003</v>
      </c>
      <c r="F97" s="299">
        <v>0</v>
      </c>
      <c r="G97" s="289">
        <f>$E97*F97</f>
        <v>0</v>
      </c>
      <c r="H97" s="301">
        <v>0.25277</v>
      </c>
      <c r="I97" s="301">
        <f>E97*H97</f>
        <v>0.7289886800000001</v>
      </c>
      <c r="J97" s="301"/>
      <c r="K97" s="301"/>
      <c r="L97" s="333"/>
      <c r="M97" s="333"/>
      <c r="N97" s="333"/>
      <c r="O97" s="333"/>
      <c r="P97" s="333"/>
      <c r="Q97" s="333"/>
      <c r="R97" s="333"/>
      <c r="T97" s="335"/>
    </row>
    <row r="98" spans="1:20" s="296" customFormat="1" ht="19.5" customHeight="1">
      <c r="A98" s="290"/>
      <c r="B98" s="291" t="s">
        <v>225</v>
      </c>
      <c r="C98" s="336" t="s">
        <v>272</v>
      </c>
      <c r="D98" s="292">
        <f>0.77*2+0.84*1.6</f>
        <v>2.8840000000000003</v>
      </c>
      <c r="E98" s="337"/>
      <c r="F98" s="292"/>
      <c r="G98" s="293"/>
      <c r="H98" s="294"/>
      <c r="I98" s="294"/>
      <c r="J98" s="294"/>
      <c r="K98" s="294"/>
      <c r="L98" s="295"/>
      <c r="M98" s="295"/>
      <c r="N98" s="295"/>
      <c r="O98" s="295"/>
      <c r="P98" s="295"/>
      <c r="Q98" s="295"/>
      <c r="R98" s="295"/>
      <c r="T98" s="297"/>
    </row>
    <row r="99" spans="1:20" s="76" customFormat="1" ht="12.75" customHeight="1" thickBot="1">
      <c r="A99" s="78"/>
      <c r="B99" s="79"/>
      <c r="C99" s="80"/>
      <c r="D99" s="81"/>
      <c r="E99" s="82"/>
      <c r="F99" s="83"/>
      <c r="G99" s="84"/>
      <c r="H99" s="74"/>
      <c r="I99" s="74"/>
      <c r="J99" s="74"/>
      <c r="K99" s="74"/>
      <c r="L99" s="75"/>
      <c r="M99" s="75"/>
      <c r="N99" s="75"/>
      <c r="O99" s="75"/>
      <c r="P99" s="75"/>
      <c r="Q99" s="75"/>
      <c r="R99" s="75"/>
      <c r="T99" s="77"/>
    </row>
    <row r="100" spans="1:20" s="156" customFormat="1" ht="16.5" customHeight="1" thickBot="1">
      <c r="A100" s="309"/>
      <c r="B100" s="310"/>
      <c r="C100" s="311" t="s">
        <v>34</v>
      </c>
      <c r="D100" s="312"/>
      <c r="E100" s="350"/>
      <c r="F100" s="347"/>
      <c r="G100" s="315">
        <f>SUBTOTAL(9,G90:G99)</f>
        <v>0</v>
      </c>
      <c r="H100" s="351"/>
      <c r="I100" s="352">
        <f>SUM(I90:I99)</f>
        <v>7.37120118</v>
      </c>
      <c r="J100" s="351"/>
      <c r="K100" s="351"/>
      <c r="L100" s="155"/>
      <c r="M100" s="155"/>
      <c r="N100" s="155"/>
      <c r="O100" s="155"/>
      <c r="P100" s="155"/>
      <c r="Q100" s="155"/>
      <c r="R100" s="155"/>
      <c r="T100" s="157"/>
    </row>
    <row r="101" spans="1:20" s="156" customFormat="1" ht="13.7" customHeight="1" thickBot="1">
      <c r="A101" s="316"/>
      <c r="B101" s="317"/>
      <c r="C101" s="318"/>
      <c r="D101" s="318"/>
      <c r="E101" s="353"/>
      <c r="F101" s="349"/>
      <c r="G101" s="271"/>
      <c r="H101" s="351"/>
      <c r="I101" s="351"/>
      <c r="J101" s="351"/>
      <c r="K101" s="351"/>
      <c r="L101" s="155"/>
      <c r="M101" s="155"/>
      <c r="N101" s="155"/>
      <c r="O101" s="155"/>
      <c r="P101" s="155"/>
      <c r="Q101" s="155"/>
      <c r="R101" s="155"/>
      <c r="T101" s="157"/>
    </row>
    <row r="102" spans="1:20" s="280" customFormat="1" ht="16.5" customHeight="1" thickBot="1">
      <c r="A102" s="272" t="s">
        <v>21</v>
      </c>
      <c r="B102" s="273" t="s">
        <v>362</v>
      </c>
      <c r="C102" s="274" t="s">
        <v>296</v>
      </c>
      <c r="D102" s="275"/>
      <c r="E102" s="276"/>
      <c r="F102" s="277"/>
      <c r="G102" s="278"/>
      <c r="H102" s="262"/>
      <c r="I102" s="262"/>
      <c r="J102" s="262"/>
      <c r="K102" s="262"/>
      <c r="L102" s="279"/>
      <c r="M102" s="279"/>
      <c r="N102" s="279"/>
      <c r="O102" s="279"/>
      <c r="P102" s="279"/>
      <c r="Q102" s="279"/>
      <c r="R102" s="279"/>
      <c r="T102" s="281"/>
    </row>
    <row r="103" spans="1:20" s="156" customFormat="1" ht="12.75">
      <c r="A103" s="282"/>
      <c r="B103" s="283"/>
      <c r="C103" s="284"/>
      <c r="D103" s="285"/>
      <c r="E103" s="286"/>
      <c r="F103" s="287"/>
      <c r="G103" s="288"/>
      <c r="H103" s="176"/>
      <c r="I103" s="176"/>
      <c r="J103" s="176"/>
      <c r="K103" s="176"/>
      <c r="L103" s="155"/>
      <c r="M103" s="155"/>
      <c r="N103" s="155"/>
      <c r="O103" s="155"/>
      <c r="P103" s="155"/>
      <c r="Q103" s="155"/>
      <c r="R103" s="155"/>
      <c r="T103" s="157"/>
    </row>
    <row r="104" spans="1:20" s="334" customFormat="1" ht="35.25" customHeight="1">
      <c r="A104" s="20" t="s">
        <v>38</v>
      </c>
      <c r="B104" s="298" t="s">
        <v>139</v>
      </c>
      <c r="C104" s="716" t="s">
        <v>295</v>
      </c>
      <c r="D104" s="332" t="s">
        <v>26</v>
      </c>
      <c r="E104" s="299">
        <v>4.8</v>
      </c>
      <c r="F104" s="299">
        <v>0</v>
      </c>
      <c r="G104" s="289">
        <f>$E104*F104</f>
        <v>0</v>
      </c>
      <c r="H104" s="301">
        <v>0.00261</v>
      </c>
      <c r="I104" s="301">
        <f>E104*H104</f>
        <v>0.012528</v>
      </c>
      <c r="J104" s="301"/>
      <c r="K104" s="301"/>
      <c r="L104" s="333"/>
      <c r="M104" s="333"/>
      <c r="N104" s="333"/>
      <c r="O104" s="333"/>
      <c r="P104" s="333"/>
      <c r="Q104" s="333"/>
      <c r="R104" s="333"/>
      <c r="T104" s="335"/>
    </row>
    <row r="105" spans="1:20" s="156" customFormat="1" ht="13.5" thickBot="1">
      <c r="A105" s="250"/>
      <c r="B105" s="251"/>
      <c r="C105" s="306"/>
      <c r="D105" s="307"/>
      <c r="E105" s="308"/>
      <c r="F105" s="254"/>
      <c r="G105" s="255"/>
      <c r="H105" s="176"/>
      <c r="I105" s="169"/>
      <c r="J105" s="176"/>
      <c r="K105" s="176"/>
      <c r="L105" s="155"/>
      <c r="M105" s="155"/>
      <c r="N105" s="155"/>
      <c r="O105" s="155"/>
      <c r="P105" s="155"/>
      <c r="Q105" s="155"/>
      <c r="R105" s="155"/>
      <c r="T105" s="157"/>
    </row>
    <row r="106" spans="1:20" s="156" customFormat="1" ht="16.5" customHeight="1" thickBot="1">
      <c r="A106" s="309"/>
      <c r="B106" s="310"/>
      <c r="C106" s="311"/>
      <c r="D106" s="312"/>
      <c r="E106" s="313"/>
      <c r="F106" s="314"/>
      <c r="G106" s="315">
        <f>SUBTOTAL(9,G103:G105)</f>
        <v>0</v>
      </c>
      <c r="H106" s="176"/>
      <c r="I106" s="86">
        <f>SUM(I103:I105)</f>
        <v>0.012528</v>
      </c>
      <c r="J106" s="176"/>
      <c r="K106" s="176"/>
      <c r="L106" s="155"/>
      <c r="M106" s="155"/>
      <c r="N106" s="155"/>
      <c r="O106" s="155"/>
      <c r="P106" s="155"/>
      <c r="Q106" s="155"/>
      <c r="R106" s="155"/>
      <c r="T106" s="157"/>
    </row>
    <row r="107" spans="1:20" s="156" customFormat="1" ht="13.5" customHeight="1" thickBot="1">
      <c r="A107" s="316"/>
      <c r="B107" s="317"/>
      <c r="C107" s="318"/>
      <c r="D107" s="318"/>
      <c r="E107" s="319"/>
      <c r="F107" s="270"/>
      <c r="G107" s="271"/>
      <c r="H107" s="176"/>
      <c r="I107" s="176"/>
      <c r="J107" s="176"/>
      <c r="K107" s="176"/>
      <c r="L107" s="155"/>
      <c r="M107" s="155"/>
      <c r="N107" s="155"/>
      <c r="O107" s="155"/>
      <c r="P107" s="155"/>
      <c r="Q107" s="155"/>
      <c r="R107" s="155"/>
      <c r="T107" s="157"/>
    </row>
    <row r="108" spans="1:20" s="280" customFormat="1" ht="16.5" customHeight="1" thickBot="1">
      <c r="A108" s="272" t="s">
        <v>37</v>
      </c>
      <c r="B108" s="273" t="s">
        <v>40</v>
      </c>
      <c r="C108" s="274" t="s">
        <v>85</v>
      </c>
      <c r="D108" s="275"/>
      <c r="E108" s="276"/>
      <c r="F108" s="277"/>
      <c r="G108" s="278"/>
      <c r="H108" s="262"/>
      <c r="I108" s="262"/>
      <c r="J108" s="262"/>
      <c r="K108" s="262"/>
      <c r="L108" s="279"/>
      <c r="M108" s="279"/>
      <c r="N108" s="279"/>
      <c r="O108" s="279"/>
      <c r="P108" s="279"/>
      <c r="Q108" s="279"/>
      <c r="R108" s="279"/>
      <c r="T108" s="281"/>
    </row>
    <row r="109" spans="1:20" s="156" customFormat="1" ht="12.75">
      <c r="A109" s="282"/>
      <c r="B109" s="283"/>
      <c r="C109" s="284"/>
      <c r="D109" s="285"/>
      <c r="E109" s="358"/>
      <c r="F109" s="287"/>
      <c r="G109" s="359"/>
      <c r="H109" s="351"/>
      <c r="I109" s="351"/>
      <c r="J109" s="351"/>
      <c r="K109" s="351"/>
      <c r="L109" s="155"/>
      <c r="M109" s="155"/>
      <c r="N109" s="155"/>
      <c r="O109" s="155"/>
      <c r="P109" s="155"/>
      <c r="Q109" s="155"/>
      <c r="R109" s="155"/>
      <c r="T109" s="157"/>
    </row>
    <row r="110" spans="1:20" s="340" customFormat="1" ht="15.75" customHeight="1">
      <c r="A110" s="330" t="s">
        <v>41</v>
      </c>
      <c r="B110" s="298" t="s">
        <v>129</v>
      </c>
      <c r="C110" s="331" t="s">
        <v>87</v>
      </c>
      <c r="D110" s="332" t="s">
        <v>26</v>
      </c>
      <c r="E110" s="299">
        <f>SUM(D111:D112)</f>
        <v>36.900000000000006</v>
      </c>
      <c r="F110" s="299">
        <v>0</v>
      </c>
      <c r="G110" s="289">
        <f aca="true" t="shared" si="5" ref="G110:G117">$E110*F110</f>
        <v>0</v>
      </c>
      <c r="H110" s="301">
        <v>0.04766</v>
      </c>
      <c r="I110" s="301">
        <f aca="true" t="shared" si="6" ref="I110">E110*H110</f>
        <v>1.7586540000000004</v>
      </c>
      <c r="J110" s="301"/>
      <c r="K110" s="301"/>
      <c r="L110" s="339"/>
      <c r="M110" s="339"/>
      <c r="N110" s="339"/>
      <c r="O110" s="339"/>
      <c r="P110" s="339"/>
      <c r="Q110" s="339"/>
      <c r="R110" s="339"/>
      <c r="T110" s="341"/>
    </row>
    <row r="111" spans="1:20" s="296" customFormat="1" ht="19.5" customHeight="1">
      <c r="A111" s="290"/>
      <c r="B111" s="291" t="s">
        <v>27</v>
      </c>
      <c r="C111" s="336" t="s">
        <v>271</v>
      </c>
      <c r="D111" s="292">
        <f>1.5*1*2+5.9*1*3+2.75*1*1</f>
        <v>23.450000000000003</v>
      </c>
      <c r="E111" s="337"/>
      <c r="F111" s="292"/>
      <c r="G111" s="293"/>
      <c r="H111" s="294"/>
      <c r="I111" s="294"/>
      <c r="J111" s="294"/>
      <c r="K111" s="294"/>
      <c r="L111" s="295"/>
      <c r="M111" s="295"/>
      <c r="N111" s="295"/>
      <c r="O111" s="295"/>
      <c r="P111" s="295"/>
      <c r="Q111" s="295"/>
      <c r="R111" s="295"/>
      <c r="T111" s="297"/>
    </row>
    <row r="112" spans="1:20" s="296" customFormat="1" ht="19.5" customHeight="1">
      <c r="A112" s="290"/>
      <c r="B112" s="291" t="s">
        <v>30</v>
      </c>
      <c r="C112" s="336" t="s">
        <v>321</v>
      </c>
      <c r="D112" s="292">
        <f>0.8*2.1*8+0.01</f>
        <v>13.450000000000001</v>
      </c>
      <c r="E112" s="337"/>
      <c r="F112" s="292"/>
      <c r="G112" s="293"/>
      <c r="H112" s="294"/>
      <c r="I112" s="294"/>
      <c r="J112" s="294"/>
      <c r="K112" s="294"/>
      <c r="L112" s="295"/>
      <c r="M112" s="295"/>
      <c r="N112" s="295"/>
      <c r="O112" s="295"/>
      <c r="P112" s="295"/>
      <c r="Q112" s="295"/>
      <c r="R112" s="295"/>
      <c r="T112" s="297"/>
    </row>
    <row r="113" spans="1:20" s="340" customFormat="1" ht="18" customHeight="1">
      <c r="A113" s="330" t="s">
        <v>386</v>
      </c>
      <c r="B113" s="298" t="s">
        <v>130</v>
      </c>
      <c r="C113" s="331" t="s">
        <v>131</v>
      </c>
      <c r="D113" s="332" t="s">
        <v>26</v>
      </c>
      <c r="E113" s="299">
        <f>SUM(D114:D115)</f>
        <v>36.900000000000006</v>
      </c>
      <c r="F113" s="299">
        <v>0</v>
      </c>
      <c r="G113" s="289">
        <f aca="true" t="shared" si="7" ref="G113">$E113*F113</f>
        <v>0</v>
      </c>
      <c r="H113" s="301">
        <v>0.00367</v>
      </c>
      <c r="I113" s="301">
        <f aca="true" t="shared" si="8" ref="I113">E113*H113</f>
        <v>0.13542300000000002</v>
      </c>
      <c r="J113" s="301"/>
      <c r="K113" s="301"/>
      <c r="L113" s="339"/>
      <c r="M113" s="339"/>
      <c r="N113" s="339"/>
      <c r="O113" s="339"/>
      <c r="P113" s="339"/>
      <c r="Q113" s="339"/>
      <c r="R113" s="339"/>
      <c r="T113" s="341"/>
    </row>
    <row r="114" spans="1:20" s="296" customFormat="1" ht="19.5" customHeight="1">
      <c r="A114" s="290"/>
      <c r="B114" s="291" t="s">
        <v>27</v>
      </c>
      <c r="C114" s="336" t="s">
        <v>271</v>
      </c>
      <c r="D114" s="292">
        <f>1.5*1*2+5.9*1*3+2.75*1*1</f>
        <v>23.450000000000003</v>
      </c>
      <c r="E114" s="337"/>
      <c r="F114" s="292"/>
      <c r="G114" s="293"/>
      <c r="H114" s="294"/>
      <c r="I114" s="294"/>
      <c r="J114" s="294"/>
      <c r="K114" s="294"/>
      <c r="L114" s="295"/>
      <c r="M114" s="295"/>
      <c r="N114" s="295"/>
      <c r="O114" s="295"/>
      <c r="P114" s="295"/>
      <c r="Q114" s="295"/>
      <c r="R114" s="295"/>
      <c r="T114" s="297"/>
    </row>
    <row r="115" spans="1:20" s="296" customFormat="1" ht="19.5" customHeight="1">
      <c r="A115" s="290"/>
      <c r="B115" s="291" t="s">
        <v>30</v>
      </c>
      <c r="C115" s="336" t="s">
        <v>321</v>
      </c>
      <c r="D115" s="292">
        <f>0.8*2.1*8+0.01</f>
        <v>13.450000000000001</v>
      </c>
      <c r="E115" s="337"/>
      <c r="F115" s="292"/>
      <c r="G115" s="293"/>
      <c r="H115" s="294"/>
      <c r="I115" s="294"/>
      <c r="J115" s="294"/>
      <c r="K115" s="294"/>
      <c r="L115" s="295"/>
      <c r="M115" s="295"/>
      <c r="N115" s="295"/>
      <c r="O115" s="295"/>
      <c r="P115" s="295"/>
      <c r="Q115" s="295"/>
      <c r="R115" s="295"/>
      <c r="T115" s="297"/>
    </row>
    <row r="116" spans="1:20" s="361" customFormat="1" ht="19.5" customHeight="1">
      <c r="A116" s="290"/>
      <c r="B116" s="291"/>
      <c r="C116" s="331"/>
      <c r="D116" s="292"/>
      <c r="E116" s="337"/>
      <c r="F116" s="292"/>
      <c r="G116" s="293"/>
      <c r="H116" s="294"/>
      <c r="I116" s="294"/>
      <c r="J116" s="294"/>
      <c r="K116" s="294"/>
      <c r="L116" s="360"/>
      <c r="M116" s="360"/>
      <c r="N116" s="360"/>
      <c r="O116" s="360"/>
      <c r="P116" s="360"/>
      <c r="Q116" s="360"/>
      <c r="R116" s="360"/>
      <c r="T116" s="362"/>
    </row>
    <row r="117" spans="1:20" s="340" customFormat="1" ht="32.25" customHeight="1">
      <c r="A117" s="330" t="s">
        <v>387</v>
      </c>
      <c r="B117" s="298" t="s">
        <v>322</v>
      </c>
      <c r="C117" s="331" t="s">
        <v>323</v>
      </c>
      <c r="D117" s="332" t="s">
        <v>31</v>
      </c>
      <c r="E117" s="299">
        <f>SUM(D118:D119)</f>
        <v>204.49999999999997</v>
      </c>
      <c r="F117" s="299">
        <v>0</v>
      </c>
      <c r="G117" s="289">
        <f t="shared" si="5"/>
        <v>0</v>
      </c>
      <c r="H117" s="301">
        <v>0.00238</v>
      </c>
      <c r="I117" s="301">
        <f aca="true" t="shared" si="9" ref="I117">E117*H117</f>
        <v>0.48671</v>
      </c>
      <c r="J117" s="301"/>
      <c r="K117" s="301"/>
      <c r="L117" s="339"/>
      <c r="M117" s="339"/>
      <c r="N117" s="339"/>
      <c r="O117" s="339"/>
      <c r="P117" s="339"/>
      <c r="Q117" s="339"/>
      <c r="R117" s="339"/>
      <c r="T117" s="341"/>
    </row>
    <row r="118" spans="1:59" s="475" customFormat="1" ht="46.5" customHeight="1">
      <c r="A118" s="290"/>
      <c r="B118" s="291"/>
      <c r="C118" s="336" t="s">
        <v>324</v>
      </c>
      <c r="D118" s="396">
        <f>(1.5+2.9)*2*2+(5.5+2.9)*2*3+(2.75+2.9)*2*1+(2.6+1.8)*2*1+(3.1+2.9)*2*1+(1.5+2.1)*2*2+(2.5+2.1)*2*8+(2.6+5)*2*1-31.3</f>
        <v>171.99999999999997</v>
      </c>
      <c r="E118" s="292"/>
      <c r="F118" s="292"/>
      <c r="G118" s="293"/>
      <c r="H118" s="470"/>
      <c r="I118" s="470"/>
      <c r="J118" s="470"/>
      <c r="K118" s="470"/>
      <c r="L118" s="471"/>
      <c r="M118" s="414"/>
      <c r="N118" s="414"/>
      <c r="O118" s="472"/>
      <c r="P118" s="472"/>
      <c r="Q118" s="472"/>
      <c r="R118" s="472"/>
      <c r="S118" s="473"/>
      <c r="T118" s="474"/>
      <c r="U118" s="473"/>
      <c r="V118" s="473"/>
      <c r="W118" s="473"/>
      <c r="X118" s="473"/>
      <c r="Y118" s="473"/>
      <c r="Z118" s="473"/>
      <c r="AA118" s="473"/>
      <c r="AB118" s="473"/>
      <c r="AC118" s="473"/>
      <c r="AD118" s="473"/>
      <c r="AE118" s="473"/>
      <c r="AF118" s="473"/>
      <c r="AG118" s="473"/>
      <c r="AH118" s="473"/>
      <c r="AI118" s="473"/>
      <c r="AJ118" s="473"/>
      <c r="AK118" s="473"/>
      <c r="AL118" s="473"/>
      <c r="AM118" s="473"/>
      <c r="AN118" s="473"/>
      <c r="AO118" s="473"/>
      <c r="AP118" s="473"/>
      <c r="AQ118" s="473"/>
      <c r="AR118" s="473"/>
      <c r="AS118" s="473"/>
      <c r="AT118" s="473"/>
      <c r="AU118" s="473"/>
      <c r="AV118" s="473"/>
      <c r="AW118" s="473"/>
      <c r="AX118" s="473"/>
      <c r="AY118" s="473"/>
      <c r="AZ118" s="473"/>
      <c r="BA118" s="473"/>
      <c r="BB118" s="473"/>
      <c r="BC118" s="473"/>
      <c r="BD118" s="473"/>
      <c r="BE118" s="473"/>
      <c r="BF118" s="473"/>
      <c r="BG118" s="473"/>
    </row>
    <row r="119" spans="1:59" s="475" customFormat="1" ht="19.5" customHeight="1">
      <c r="A119" s="290"/>
      <c r="B119" s="291"/>
      <c r="C119" s="336" t="s">
        <v>325</v>
      </c>
      <c r="D119" s="396">
        <f>(4.6+3.9)*2+(3.1+3.9)*2+(1.4+3.9)*2-4.6-3.1-1.4</f>
        <v>32.5</v>
      </c>
      <c r="E119" s="292"/>
      <c r="F119" s="292"/>
      <c r="G119" s="293"/>
      <c r="H119" s="470"/>
      <c r="I119" s="470"/>
      <c r="J119" s="470"/>
      <c r="K119" s="470"/>
      <c r="L119" s="471"/>
      <c r="M119" s="414"/>
      <c r="N119" s="414"/>
      <c r="O119" s="472"/>
      <c r="P119" s="472"/>
      <c r="Q119" s="472"/>
      <c r="R119" s="472"/>
      <c r="S119" s="473"/>
      <c r="T119" s="474"/>
      <c r="U119" s="473"/>
      <c r="V119" s="473"/>
      <c r="W119" s="473"/>
      <c r="X119" s="473"/>
      <c r="Y119" s="473"/>
      <c r="Z119" s="473"/>
      <c r="AA119" s="473"/>
      <c r="AB119" s="473"/>
      <c r="AC119" s="473"/>
      <c r="AD119" s="473"/>
      <c r="AE119" s="473"/>
      <c r="AF119" s="473"/>
      <c r="AG119" s="473"/>
      <c r="AH119" s="473"/>
      <c r="AI119" s="473"/>
      <c r="AJ119" s="473"/>
      <c r="AK119" s="473"/>
      <c r="AL119" s="473"/>
      <c r="AM119" s="473"/>
      <c r="AN119" s="473"/>
      <c r="AO119" s="473"/>
      <c r="AP119" s="473"/>
      <c r="AQ119" s="473"/>
      <c r="AR119" s="473"/>
      <c r="AS119" s="473"/>
      <c r="AT119" s="473"/>
      <c r="AU119" s="473"/>
      <c r="AV119" s="473"/>
      <c r="AW119" s="473"/>
      <c r="AX119" s="473"/>
      <c r="AY119" s="473"/>
      <c r="AZ119" s="473"/>
      <c r="BA119" s="473"/>
      <c r="BB119" s="473"/>
      <c r="BC119" s="473"/>
      <c r="BD119" s="473"/>
      <c r="BE119" s="473"/>
      <c r="BF119" s="473"/>
      <c r="BG119" s="473"/>
    </row>
    <row r="120" spans="1:20" s="156" customFormat="1" ht="13.5" thickBot="1">
      <c r="A120" s="342"/>
      <c r="B120" s="363"/>
      <c r="C120" s="344"/>
      <c r="D120" s="345"/>
      <c r="E120" s="364"/>
      <c r="F120" s="365"/>
      <c r="G120" s="346"/>
      <c r="H120" s="351"/>
      <c r="I120" s="351"/>
      <c r="J120" s="351"/>
      <c r="K120" s="351"/>
      <c r="L120" s="155"/>
      <c r="M120" s="155"/>
      <c r="N120" s="155"/>
      <c r="O120" s="155"/>
      <c r="P120" s="155"/>
      <c r="Q120" s="155"/>
      <c r="R120" s="155"/>
      <c r="T120" s="157"/>
    </row>
    <row r="121" spans="1:20" s="370" customFormat="1" ht="16.5" customHeight="1" thickBot="1">
      <c r="A121" s="366"/>
      <c r="B121" s="367"/>
      <c r="C121" s="311" t="s">
        <v>34</v>
      </c>
      <c r="D121" s="368"/>
      <c r="E121" s="369"/>
      <c r="F121" s="314"/>
      <c r="G121" s="315">
        <f>SUBTOTAL(9,G109:G120)</f>
        <v>0</v>
      </c>
      <c r="H121" s="351"/>
      <c r="I121" s="326">
        <f>SUM(I108:I120)</f>
        <v>2.3807870000000007</v>
      </c>
      <c r="J121" s="351"/>
      <c r="K121" s="351"/>
      <c r="L121" s="155"/>
      <c r="M121" s="155"/>
      <c r="N121" s="155"/>
      <c r="O121" s="155"/>
      <c r="P121" s="155"/>
      <c r="Q121" s="155"/>
      <c r="R121" s="155"/>
      <c r="T121" s="371"/>
    </row>
    <row r="122" spans="1:20" s="156" customFormat="1" ht="13.7" customHeight="1" thickBot="1">
      <c r="A122" s="316"/>
      <c r="B122" s="317"/>
      <c r="C122" s="318"/>
      <c r="D122" s="318"/>
      <c r="E122" s="353"/>
      <c r="F122" s="270"/>
      <c r="G122" s="271"/>
      <c r="H122" s="351"/>
      <c r="I122" s="351"/>
      <c r="J122" s="351"/>
      <c r="K122" s="351"/>
      <c r="L122" s="155"/>
      <c r="M122" s="155"/>
      <c r="N122" s="155"/>
      <c r="O122" s="155"/>
      <c r="P122" s="155"/>
      <c r="Q122" s="155"/>
      <c r="R122" s="155"/>
      <c r="T122" s="157"/>
    </row>
    <row r="123" spans="1:20" s="280" customFormat="1" ht="16.5" customHeight="1" thickBot="1">
      <c r="A123" s="272" t="s">
        <v>43</v>
      </c>
      <c r="B123" s="273" t="s">
        <v>88</v>
      </c>
      <c r="C123" s="274" t="s">
        <v>89</v>
      </c>
      <c r="D123" s="275"/>
      <c r="E123" s="276"/>
      <c r="F123" s="277"/>
      <c r="G123" s="278"/>
      <c r="H123" s="262"/>
      <c r="I123" s="262"/>
      <c r="J123" s="262"/>
      <c r="K123" s="262"/>
      <c r="L123" s="279"/>
      <c r="M123" s="279"/>
      <c r="N123" s="279"/>
      <c r="O123" s="279"/>
      <c r="P123" s="279"/>
      <c r="Q123" s="279"/>
      <c r="R123" s="279"/>
      <c r="T123" s="281"/>
    </row>
    <row r="124" spans="1:20" s="156" customFormat="1" ht="12.75">
      <c r="A124" s="282"/>
      <c r="B124" s="372"/>
      <c r="C124" s="284"/>
      <c r="D124" s="285"/>
      <c r="E124" s="358"/>
      <c r="F124" s="287"/>
      <c r="G124" s="373"/>
      <c r="H124" s="351"/>
      <c r="I124" s="351"/>
      <c r="J124" s="351"/>
      <c r="K124" s="351"/>
      <c r="L124" s="155"/>
      <c r="M124" s="155"/>
      <c r="N124" s="155"/>
      <c r="O124" s="155"/>
      <c r="P124" s="155"/>
      <c r="Q124" s="155"/>
      <c r="R124" s="155"/>
      <c r="T124" s="157"/>
    </row>
    <row r="125" spans="1:20" s="340" customFormat="1" ht="18" customHeight="1">
      <c r="A125" s="330" t="s">
        <v>44</v>
      </c>
      <c r="B125" s="298" t="s">
        <v>134</v>
      </c>
      <c r="C125" s="331" t="s">
        <v>90</v>
      </c>
      <c r="D125" s="332" t="s">
        <v>26</v>
      </c>
      <c r="E125" s="299">
        <f>SUM(D126:D127)</f>
        <v>174.995</v>
      </c>
      <c r="F125" s="299">
        <v>0</v>
      </c>
      <c r="G125" s="289">
        <f aca="true" t="shared" si="10" ref="G125">$E125*F125</f>
        <v>0</v>
      </c>
      <c r="H125" s="301">
        <v>4E-05</v>
      </c>
      <c r="I125" s="301">
        <f aca="true" t="shared" si="11" ref="I125">E125*H125</f>
        <v>0.0069998000000000005</v>
      </c>
      <c r="J125" s="301"/>
      <c r="K125" s="301"/>
      <c r="L125" s="339"/>
      <c r="M125" s="339"/>
      <c r="N125" s="339"/>
      <c r="O125" s="339"/>
      <c r="P125" s="339"/>
      <c r="Q125" s="339"/>
      <c r="R125" s="339"/>
      <c r="T125" s="341"/>
    </row>
    <row r="126" spans="1:20" s="361" customFormat="1" ht="30.75" customHeight="1">
      <c r="A126" s="290"/>
      <c r="B126" s="291" t="s">
        <v>42</v>
      </c>
      <c r="C126" s="336" t="s">
        <v>331</v>
      </c>
      <c r="D126" s="292">
        <f>(1.5*2.9)*2+(5.5*2.9)*3+(2.75*2.9)*1+(2.6*1.8)*1+(3.1*2.9)*1+(1.5*2.1)*2+(2.5*2.1)*8+(2.6*5)*1</f>
        <v>139.495</v>
      </c>
      <c r="E126" s="337"/>
      <c r="F126" s="292"/>
      <c r="G126" s="293"/>
      <c r="H126" s="294"/>
      <c r="I126" s="294"/>
      <c r="J126" s="294"/>
      <c r="K126" s="294"/>
      <c r="L126" s="360"/>
      <c r="M126" s="360"/>
      <c r="N126" s="360"/>
      <c r="O126" s="360"/>
      <c r="P126" s="360"/>
      <c r="Q126" s="360"/>
      <c r="R126" s="360"/>
      <c r="T126" s="362"/>
    </row>
    <row r="127" spans="1:20" s="361" customFormat="1" ht="18" customHeight="1">
      <c r="A127" s="290"/>
      <c r="B127" s="291" t="s">
        <v>119</v>
      </c>
      <c r="C127" s="336" t="s">
        <v>332</v>
      </c>
      <c r="D127" s="292">
        <f>(4.6*3.9)+(3.1*3.9)+(1.4*3.9)+0.01</f>
        <v>35.49999999999999</v>
      </c>
      <c r="E127" s="337"/>
      <c r="F127" s="292"/>
      <c r="G127" s="293"/>
      <c r="H127" s="294"/>
      <c r="I127" s="294"/>
      <c r="J127" s="294"/>
      <c r="K127" s="294"/>
      <c r="L127" s="360"/>
      <c r="M127" s="360"/>
      <c r="N127" s="360"/>
      <c r="O127" s="360"/>
      <c r="P127" s="360"/>
      <c r="Q127" s="360"/>
      <c r="R127" s="360"/>
      <c r="T127" s="362"/>
    </row>
    <row r="128" spans="1:20" s="361" customFormat="1" ht="13.5" customHeight="1">
      <c r="A128" s="290"/>
      <c r="B128" s="291"/>
      <c r="C128" s="336"/>
      <c r="D128" s="292"/>
      <c r="E128" s="337"/>
      <c r="F128" s="292"/>
      <c r="G128" s="293"/>
      <c r="H128" s="294"/>
      <c r="I128" s="294"/>
      <c r="J128" s="294"/>
      <c r="K128" s="294"/>
      <c r="L128" s="360"/>
      <c r="M128" s="360"/>
      <c r="N128" s="360"/>
      <c r="O128" s="360"/>
      <c r="P128" s="360"/>
      <c r="Q128" s="360"/>
      <c r="R128" s="360"/>
      <c r="T128" s="362"/>
    </row>
    <row r="129" spans="1:20" s="340" customFormat="1" ht="18" customHeight="1">
      <c r="A129" s="330" t="s">
        <v>388</v>
      </c>
      <c r="B129" s="298" t="s">
        <v>132</v>
      </c>
      <c r="C129" s="331" t="s">
        <v>133</v>
      </c>
      <c r="D129" s="466" t="s">
        <v>26</v>
      </c>
      <c r="E129" s="299">
        <f>SUM(D130:D132)</f>
        <v>40.800000000000004</v>
      </c>
      <c r="F129" s="299">
        <v>0</v>
      </c>
      <c r="G129" s="289">
        <f aca="true" t="shared" si="12" ref="G129">$E129*F129</f>
        <v>0</v>
      </c>
      <c r="H129" s="301">
        <v>0.035</v>
      </c>
      <c r="I129" s="301">
        <f aca="true" t="shared" si="13" ref="I129">E129*H129</f>
        <v>1.4280000000000004</v>
      </c>
      <c r="J129" s="464"/>
      <c r="K129" s="464"/>
      <c r="L129" s="465"/>
      <c r="M129" s="465"/>
      <c r="N129" s="465"/>
      <c r="O129" s="465"/>
      <c r="P129" s="465"/>
      <c r="Q129" s="465"/>
      <c r="R129" s="465"/>
      <c r="T129" s="341"/>
    </row>
    <row r="130" spans="1:20" s="296" customFormat="1" ht="19.5" customHeight="1">
      <c r="A130" s="290"/>
      <c r="B130" s="291" t="s">
        <v>334</v>
      </c>
      <c r="C130" s="336" t="s">
        <v>271</v>
      </c>
      <c r="D130" s="292">
        <f>1.5*1*2+5.9*1*3+2.75*1*1</f>
        <v>23.450000000000003</v>
      </c>
      <c r="E130" s="337"/>
      <c r="F130" s="292"/>
      <c r="G130" s="293"/>
      <c r="H130" s="294"/>
      <c r="I130" s="294"/>
      <c r="J130" s="294"/>
      <c r="K130" s="294"/>
      <c r="L130" s="295"/>
      <c r="M130" s="295"/>
      <c r="N130" s="295"/>
      <c r="O130" s="295"/>
      <c r="P130" s="295"/>
      <c r="Q130" s="295"/>
      <c r="R130" s="295"/>
      <c r="T130" s="297"/>
    </row>
    <row r="131" spans="1:20" s="296" customFormat="1" ht="19.5" customHeight="1">
      <c r="A131" s="290"/>
      <c r="B131" s="291" t="s">
        <v>335</v>
      </c>
      <c r="C131" s="336" t="s">
        <v>321</v>
      </c>
      <c r="D131" s="292">
        <f>0.8*2.1*8+0.01</f>
        <v>13.450000000000001</v>
      </c>
      <c r="E131" s="337"/>
      <c r="F131" s="292"/>
      <c r="G131" s="293"/>
      <c r="H131" s="294"/>
      <c r="I131" s="294"/>
      <c r="J131" s="294"/>
      <c r="K131" s="294"/>
      <c r="L131" s="295"/>
      <c r="M131" s="295"/>
      <c r="N131" s="295"/>
      <c r="O131" s="295"/>
      <c r="P131" s="295"/>
      <c r="Q131" s="295"/>
      <c r="R131" s="295"/>
      <c r="T131" s="297"/>
    </row>
    <row r="132" spans="1:20" s="296" customFormat="1" ht="16.5" customHeight="1">
      <c r="A132" s="452"/>
      <c r="B132" s="291" t="s">
        <v>283</v>
      </c>
      <c r="C132" s="336" t="s">
        <v>269</v>
      </c>
      <c r="D132" s="292">
        <f>((1*1.5)/2)*2+1.9*1+0.5*1</f>
        <v>3.9</v>
      </c>
      <c r="E132" s="337"/>
      <c r="F132" s="292"/>
      <c r="G132" s="293"/>
      <c r="H132" s="294"/>
      <c r="I132" s="294"/>
      <c r="J132" s="294"/>
      <c r="K132" s="294"/>
      <c r="L132" s="295"/>
      <c r="M132" s="295"/>
      <c r="N132" s="295"/>
      <c r="O132" s="295"/>
      <c r="P132" s="295"/>
      <c r="Q132" s="295"/>
      <c r="R132" s="295"/>
      <c r="T132" s="297"/>
    </row>
    <row r="133" spans="1:20" s="361" customFormat="1" ht="13.5" customHeight="1">
      <c r="A133" s="290"/>
      <c r="B133" s="291"/>
      <c r="C133" s="336"/>
      <c r="D133" s="292"/>
      <c r="E133" s="337"/>
      <c r="F133" s="292"/>
      <c r="G133" s="293"/>
      <c r="H133" s="294"/>
      <c r="I133" s="294"/>
      <c r="J133" s="294"/>
      <c r="K133" s="294"/>
      <c r="L133" s="360"/>
      <c r="M133" s="360"/>
      <c r="N133" s="360"/>
      <c r="O133" s="360"/>
      <c r="P133" s="360"/>
      <c r="Q133" s="360"/>
      <c r="R133" s="360"/>
      <c r="T133" s="362"/>
    </row>
    <row r="134" spans="1:20" s="340" customFormat="1" ht="18" customHeight="1">
      <c r="A134" s="330" t="s">
        <v>389</v>
      </c>
      <c r="B134" s="298" t="s">
        <v>130</v>
      </c>
      <c r="C134" s="331" t="s">
        <v>131</v>
      </c>
      <c r="D134" s="332" t="s">
        <v>26</v>
      </c>
      <c r="E134" s="299">
        <f>SUM(D135:D136)</f>
        <v>36.900000000000006</v>
      </c>
      <c r="F134" s="299">
        <v>0</v>
      </c>
      <c r="G134" s="289">
        <f aca="true" t="shared" si="14" ref="G134">$E134*F134</f>
        <v>0</v>
      </c>
      <c r="H134" s="301">
        <v>0.00367</v>
      </c>
      <c r="I134" s="301">
        <f aca="true" t="shared" si="15" ref="I134">E134*H134</f>
        <v>0.13542300000000002</v>
      </c>
      <c r="J134" s="301"/>
      <c r="K134" s="301"/>
      <c r="L134" s="339"/>
      <c r="M134" s="339"/>
      <c r="N134" s="339"/>
      <c r="O134" s="339"/>
      <c r="P134" s="339"/>
      <c r="Q134" s="339"/>
      <c r="R134" s="339"/>
      <c r="T134" s="341"/>
    </row>
    <row r="135" spans="1:20" s="296" customFormat="1" ht="19.5" customHeight="1">
      <c r="A135" s="290"/>
      <c r="B135" s="291" t="s">
        <v>27</v>
      </c>
      <c r="C135" s="336" t="s">
        <v>271</v>
      </c>
      <c r="D135" s="292">
        <f>1.5*1*2+5.9*1*3+2.75*1*1</f>
        <v>23.450000000000003</v>
      </c>
      <c r="E135" s="337"/>
      <c r="F135" s="292"/>
      <c r="G135" s="293"/>
      <c r="H135" s="294"/>
      <c r="I135" s="294"/>
      <c r="J135" s="294"/>
      <c r="K135" s="294"/>
      <c r="L135" s="295"/>
      <c r="M135" s="295"/>
      <c r="N135" s="295"/>
      <c r="O135" s="295"/>
      <c r="P135" s="295"/>
      <c r="Q135" s="295"/>
      <c r="R135" s="295"/>
      <c r="T135" s="297"/>
    </row>
    <row r="136" spans="1:20" s="296" customFormat="1" ht="19.5" customHeight="1">
      <c r="A136" s="290"/>
      <c r="B136" s="291" t="s">
        <v>30</v>
      </c>
      <c r="C136" s="336" t="s">
        <v>321</v>
      </c>
      <c r="D136" s="292">
        <f>0.8*2.1*8+0.01</f>
        <v>13.450000000000001</v>
      </c>
      <c r="E136" s="337"/>
      <c r="F136" s="292"/>
      <c r="G136" s="293"/>
      <c r="H136" s="294"/>
      <c r="I136" s="294"/>
      <c r="J136" s="294"/>
      <c r="K136" s="294"/>
      <c r="L136" s="295"/>
      <c r="M136" s="295"/>
      <c r="N136" s="295"/>
      <c r="O136" s="295"/>
      <c r="P136" s="295"/>
      <c r="Q136" s="295"/>
      <c r="R136" s="295"/>
      <c r="T136" s="297"/>
    </row>
    <row r="137" spans="1:20" s="361" customFormat="1" ht="14.25" customHeight="1">
      <c r="A137" s="290"/>
      <c r="B137" s="291"/>
      <c r="C137" s="336"/>
      <c r="D137" s="292"/>
      <c r="E137" s="337"/>
      <c r="F137" s="292"/>
      <c r="G137" s="293"/>
      <c r="H137" s="294"/>
      <c r="I137" s="294"/>
      <c r="J137" s="294"/>
      <c r="K137" s="294"/>
      <c r="L137" s="360"/>
      <c r="M137" s="360"/>
      <c r="N137" s="360"/>
      <c r="O137" s="360"/>
      <c r="P137" s="360"/>
      <c r="Q137" s="360"/>
      <c r="R137" s="360"/>
      <c r="T137" s="362"/>
    </row>
    <row r="138" spans="1:20" s="340" customFormat="1" ht="18" customHeight="1">
      <c r="A138" s="330" t="s">
        <v>390</v>
      </c>
      <c r="B138" s="298" t="s">
        <v>326</v>
      </c>
      <c r="C138" s="331" t="s">
        <v>327</v>
      </c>
      <c r="D138" s="332" t="s">
        <v>31</v>
      </c>
      <c r="E138" s="299">
        <f>SUM(D139)</f>
        <v>53.550000000000004</v>
      </c>
      <c r="F138" s="299">
        <v>0</v>
      </c>
      <c r="G138" s="289">
        <f aca="true" t="shared" si="16" ref="G138">$E138*F138</f>
        <v>0</v>
      </c>
      <c r="H138" s="301">
        <v>0.0106</v>
      </c>
      <c r="I138" s="301">
        <f aca="true" t="shared" si="17" ref="I138">E138*H138</f>
        <v>0.5676300000000001</v>
      </c>
      <c r="J138" s="301"/>
      <c r="K138" s="301"/>
      <c r="L138" s="339"/>
      <c r="M138" s="339"/>
      <c r="N138" s="339"/>
      <c r="O138" s="339"/>
      <c r="P138" s="339"/>
      <c r="Q138" s="339"/>
      <c r="R138" s="339"/>
      <c r="T138" s="341"/>
    </row>
    <row r="139" spans="1:59" s="475" customFormat="1" ht="20.25" customHeight="1">
      <c r="A139" s="290"/>
      <c r="B139" s="291" t="s">
        <v>330</v>
      </c>
      <c r="C139" s="336" t="s">
        <v>328</v>
      </c>
      <c r="D139" s="396">
        <f>1.5*2+5.5*3+2.75*1+2.6*1+3.1*1+1.5*2+2.5*8+2.6*1</f>
        <v>53.550000000000004</v>
      </c>
      <c r="E139" s="292"/>
      <c r="F139" s="292"/>
      <c r="G139" s="293"/>
      <c r="H139" s="470"/>
      <c r="I139" s="470"/>
      <c r="J139" s="470"/>
      <c r="K139" s="470"/>
      <c r="L139" s="471"/>
      <c r="M139" s="414"/>
      <c r="N139" s="414"/>
      <c r="O139" s="472"/>
      <c r="P139" s="472"/>
      <c r="Q139" s="472"/>
      <c r="R139" s="472"/>
      <c r="S139" s="473"/>
      <c r="T139" s="474"/>
      <c r="U139" s="473"/>
      <c r="V139" s="473"/>
      <c r="W139" s="473"/>
      <c r="X139" s="473"/>
      <c r="Y139" s="473"/>
      <c r="Z139" s="473"/>
      <c r="AA139" s="473"/>
      <c r="AB139" s="473"/>
      <c r="AC139" s="473"/>
      <c r="AD139" s="473"/>
      <c r="AE139" s="473"/>
      <c r="AF139" s="473"/>
      <c r="AG139" s="473"/>
      <c r="AH139" s="473"/>
      <c r="AI139" s="473"/>
      <c r="AJ139" s="473"/>
      <c r="AK139" s="473"/>
      <c r="AL139" s="473"/>
      <c r="AM139" s="473"/>
      <c r="AN139" s="473"/>
      <c r="AO139" s="473"/>
      <c r="AP139" s="473"/>
      <c r="AQ139" s="473"/>
      <c r="AR139" s="473"/>
      <c r="AS139" s="473"/>
      <c r="AT139" s="473"/>
      <c r="AU139" s="473"/>
      <c r="AV139" s="473"/>
      <c r="AW139" s="473"/>
      <c r="AX139" s="473"/>
      <c r="AY139" s="473"/>
      <c r="AZ139" s="473"/>
      <c r="BA139" s="473"/>
      <c r="BB139" s="473"/>
      <c r="BC139" s="473"/>
      <c r="BD139" s="473"/>
      <c r="BE139" s="473"/>
      <c r="BF139" s="473"/>
      <c r="BG139" s="473"/>
    </row>
    <row r="140" spans="1:20" s="156" customFormat="1" ht="13.5" thickBot="1">
      <c r="A140" s="342"/>
      <c r="B140" s="343"/>
      <c r="C140" s="344"/>
      <c r="D140" s="343"/>
      <c r="E140" s="364"/>
      <c r="F140" s="365"/>
      <c r="G140" s="346"/>
      <c r="H140" s="351"/>
      <c r="I140" s="351"/>
      <c r="J140" s="351"/>
      <c r="K140" s="351"/>
      <c r="L140" s="155"/>
      <c r="M140" s="155"/>
      <c r="N140" s="155"/>
      <c r="O140" s="155"/>
      <c r="P140" s="155"/>
      <c r="Q140" s="155"/>
      <c r="R140" s="155"/>
      <c r="T140" s="157"/>
    </row>
    <row r="141" spans="1:20" s="370" customFormat="1" ht="16.5" customHeight="1" thickBot="1">
      <c r="A141" s="366"/>
      <c r="B141" s="367"/>
      <c r="C141" s="311" t="s">
        <v>34</v>
      </c>
      <c r="D141" s="368"/>
      <c r="E141" s="369"/>
      <c r="F141" s="314"/>
      <c r="G141" s="315">
        <f>SUBTOTAL(9,G124:G140)</f>
        <v>0</v>
      </c>
      <c r="H141" s="351"/>
      <c r="I141" s="326">
        <f>SUM(I124:I140)</f>
        <v>2.1380528000000005</v>
      </c>
      <c r="J141" s="351"/>
      <c r="K141" s="351"/>
      <c r="L141" s="155"/>
      <c r="M141" s="155"/>
      <c r="N141" s="155"/>
      <c r="O141" s="155"/>
      <c r="P141" s="155"/>
      <c r="Q141" s="155"/>
      <c r="R141" s="155"/>
      <c r="T141" s="371"/>
    </row>
    <row r="142" spans="1:20" s="156" customFormat="1" ht="13.7" customHeight="1" thickBot="1">
      <c r="A142" s="316"/>
      <c r="B142" s="317"/>
      <c r="C142" s="318"/>
      <c r="D142" s="318"/>
      <c r="E142" s="353"/>
      <c r="F142" s="270"/>
      <c r="G142" s="271"/>
      <c r="H142" s="351"/>
      <c r="I142" s="351"/>
      <c r="J142" s="351"/>
      <c r="K142" s="351"/>
      <c r="L142" s="155"/>
      <c r="M142" s="155"/>
      <c r="N142" s="155"/>
      <c r="O142" s="155"/>
      <c r="P142" s="155"/>
      <c r="Q142" s="155"/>
      <c r="R142" s="155"/>
      <c r="T142" s="157"/>
    </row>
    <row r="143" spans="1:20" s="280" customFormat="1" ht="16.5" customHeight="1" thickBot="1">
      <c r="A143" s="272" t="s">
        <v>45</v>
      </c>
      <c r="B143" s="273" t="s">
        <v>91</v>
      </c>
      <c r="C143" s="274" t="s">
        <v>92</v>
      </c>
      <c r="D143" s="275"/>
      <c r="E143" s="276"/>
      <c r="F143" s="277"/>
      <c r="G143" s="278"/>
      <c r="H143" s="262"/>
      <c r="I143" s="262"/>
      <c r="J143" s="262"/>
      <c r="K143" s="262"/>
      <c r="L143" s="279"/>
      <c r="M143" s="279"/>
      <c r="N143" s="279"/>
      <c r="O143" s="279"/>
      <c r="P143" s="279"/>
      <c r="Q143" s="279"/>
      <c r="R143" s="279"/>
      <c r="T143" s="281"/>
    </row>
    <row r="144" spans="1:22" s="100" customFormat="1" ht="12.75">
      <c r="A144" s="87"/>
      <c r="B144" s="88"/>
      <c r="C144" s="89"/>
      <c r="D144" s="90"/>
      <c r="E144" s="91"/>
      <c r="F144" s="92"/>
      <c r="G144" s="93"/>
      <c r="H144" s="94"/>
      <c r="I144" s="94"/>
      <c r="J144" s="94"/>
      <c r="K144" s="94"/>
      <c r="L144" s="95"/>
      <c r="M144" s="95"/>
      <c r="N144" s="96"/>
      <c r="O144" s="97"/>
      <c r="P144" s="97"/>
      <c r="Q144" s="97"/>
      <c r="R144" s="97"/>
      <c r="S144" s="98"/>
      <c r="T144" s="99"/>
      <c r="U144" s="98"/>
      <c r="V144" s="98"/>
    </row>
    <row r="145" spans="1:20" s="375" customFormat="1" ht="33" customHeight="1">
      <c r="A145" s="374" t="s">
        <v>46</v>
      </c>
      <c r="B145" s="298" t="s">
        <v>336</v>
      </c>
      <c r="C145" s="331" t="s">
        <v>337</v>
      </c>
      <c r="D145" s="332" t="s">
        <v>26</v>
      </c>
      <c r="E145" s="299">
        <f>SUM(D146:D147)</f>
        <v>11.100000000000001</v>
      </c>
      <c r="F145" s="299">
        <v>0</v>
      </c>
      <c r="G145" s="289">
        <f aca="true" t="shared" si="18" ref="G145">$E145*F145</f>
        <v>0</v>
      </c>
      <c r="H145" s="301">
        <v>0.095</v>
      </c>
      <c r="I145" s="301">
        <f aca="true" t="shared" si="19" ref="I145">E145*H145</f>
        <v>1.0545000000000002</v>
      </c>
      <c r="J145" s="301"/>
      <c r="K145" s="44"/>
      <c r="L145" s="302"/>
      <c r="M145" s="339"/>
      <c r="N145" s="339"/>
      <c r="O145" s="339"/>
      <c r="P145" s="339"/>
      <c r="Q145" s="339"/>
      <c r="R145" s="339"/>
      <c r="T145" s="376"/>
    </row>
    <row r="146" spans="1:13" s="149" customFormat="1" ht="17.25" customHeight="1">
      <c r="A146" s="147"/>
      <c r="B146" s="412" t="s">
        <v>338</v>
      </c>
      <c r="C146" s="640">
        <v>4.7</v>
      </c>
      <c r="D146" s="641">
        <f>4.7</f>
        <v>4.7</v>
      </c>
      <c r="E146" s="642"/>
      <c r="F146" s="148"/>
      <c r="G146" s="643"/>
      <c r="H146" s="413"/>
      <c r="I146" s="413"/>
      <c r="J146" s="413"/>
      <c r="K146" s="413"/>
      <c r="L146" s="644"/>
      <c r="M146" s="644"/>
    </row>
    <row r="147" spans="1:13" s="149" customFormat="1" ht="17.25" customHeight="1">
      <c r="A147" s="147"/>
      <c r="B147" s="412" t="s">
        <v>279</v>
      </c>
      <c r="C147" s="640">
        <v>6.4</v>
      </c>
      <c r="D147" s="641">
        <f>6.4</f>
        <v>6.4</v>
      </c>
      <c r="E147" s="642"/>
      <c r="F147" s="148"/>
      <c r="G147" s="643"/>
      <c r="H147" s="413"/>
      <c r="I147" s="413"/>
      <c r="J147" s="413"/>
      <c r="K147" s="413"/>
      <c r="L147" s="644"/>
      <c r="M147" s="644"/>
    </row>
    <row r="148" spans="1:22" s="100" customFormat="1" ht="13.5" thickBot="1">
      <c r="A148" s="102"/>
      <c r="B148" s="103"/>
      <c r="C148" s="104"/>
      <c r="D148" s="105"/>
      <c r="E148" s="106"/>
      <c r="F148" s="107"/>
      <c r="G148" s="108"/>
      <c r="H148" s="94"/>
      <c r="I148" s="94"/>
      <c r="J148" s="94"/>
      <c r="K148" s="94"/>
      <c r="L148" s="95"/>
      <c r="M148" s="95"/>
      <c r="N148" s="96"/>
      <c r="O148" s="97"/>
      <c r="P148" s="97"/>
      <c r="Q148" s="97"/>
      <c r="R148" s="97"/>
      <c r="S148" s="98"/>
      <c r="T148" s="99"/>
      <c r="U148" s="98"/>
      <c r="V148" s="98"/>
    </row>
    <row r="149" spans="1:22" s="100" customFormat="1" ht="16.5" customHeight="1" thickBot="1">
      <c r="A149" s="109"/>
      <c r="B149" s="110"/>
      <c r="C149" s="311" t="s">
        <v>34</v>
      </c>
      <c r="D149" s="111"/>
      <c r="E149" s="112"/>
      <c r="F149" s="113"/>
      <c r="G149" s="315">
        <f>SUBTOTAL(9,G144:G148)</f>
        <v>0</v>
      </c>
      <c r="H149" s="94"/>
      <c r="I149" s="114">
        <f>SUM(I144:I148)</f>
        <v>1.0545000000000002</v>
      </c>
      <c r="J149" s="94"/>
      <c r="K149" s="94"/>
      <c r="L149" s="95"/>
      <c r="M149" s="95"/>
      <c r="N149" s="96"/>
      <c r="O149" s="97"/>
      <c r="P149" s="97"/>
      <c r="Q149" s="97"/>
      <c r="R149" s="97"/>
      <c r="S149" s="98"/>
      <c r="T149" s="99"/>
      <c r="U149" s="98"/>
      <c r="V149" s="98"/>
    </row>
    <row r="150" spans="1:22" s="100" customFormat="1" ht="13.5" customHeight="1" thickBot="1">
      <c r="A150" s="115"/>
      <c r="B150" s="116"/>
      <c r="C150" s="117"/>
      <c r="D150" s="118"/>
      <c r="E150" s="119"/>
      <c r="F150" s="120"/>
      <c r="G150" s="121"/>
      <c r="H150" s="94"/>
      <c r="I150" s="94"/>
      <c r="J150" s="94"/>
      <c r="K150" s="94"/>
      <c r="L150" s="95"/>
      <c r="M150" s="95"/>
      <c r="N150" s="96"/>
      <c r="O150" s="97"/>
      <c r="P150" s="97"/>
      <c r="Q150" s="97"/>
      <c r="R150" s="97"/>
      <c r="S150" s="98"/>
      <c r="T150" s="99"/>
      <c r="U150" s="98"/>
      <c r="V150" s="98"/>
    </row>
    <row r="151" spans="1:20" s="280" customFormat="1" ht="16.5" customHeight="1" thickBot="1">
      <c r="A151" s="272" t="s">
        <v>47</v>
      </c>
      <c r="B151" s="273" t="s">
        <v>93</v>
      </c>
      <c r="C151" s="274" t="s">
        <v>363</v>
      </c>
      <c r="D151" s="275"/>
      <c r="E151" s="276"/>
      <c r="F151" s="277"/>
      <c r="G151" s="278"/>
      <c r="H151" s="262"/>
      <c r="I151" s="262"/>
      <c r="J151" s="262"/>
      <c r="K151" s="262"/>
      <c r="L151" s="279"/>
      <c r="M151" s="279"/>
      <c r="N151" s="279"/>
      <c r="O151" s="279"/>
      <c r="P151" s="279"/>
      <c r="Q151" s="279"/>
      <c r="R151" s="279"/>
      <c r="T151" s="281"/>
    </row>
    <row r="152" spans="1:20" s="57" customFormat="1" ht="17.25" customHeight="1">
      <c r="A152" s="122"/>
      <c r="B152" s="123"/>
      <c r="C152" s="378"/>
      <c r="D152" s="124"/>
      <c r="E152" s="125"/>
      <c r="F152" s="126"/>
      <c r="G152" s="127"/>
      <c r="H152" s="55"/>
      <c r="I152" s="55"/>
      <c r="J152" s="55"/>
      <c r="K152" s="55"/>
      <c r="L152" s="56"/>
      <c r="M152" s="56"/>
      <c r="N152" s="56"/>
      <c r="O152" s="56"/>
      <c r="P152" s="56"/>
      <c r="Q152" s="56"/>
      <c r="R152" s="56"/>
      <c r="T152" s="58"/>
    </row>
    <row r="153" spans="1:59" s="130" customFormat="1" ht="48.75" customHeight="1">
      <c r="A153" s="330" t="s">
        <v>48</v>
      </c>
      <c r="B153" s="298"/>
      <c r="C153" s="331" t="s">
        <v>318</v>
      </c>
      <c r="D153" s="332" t="s">
        <v>94</v>
      </c>
      <c r="E153" s="299">
        <f>SUM(D154)</f>
        <v>203.29999999999998</v>
      </c>
      <c r="F153" s="299">
        <v>0</v>
      </c>
      <c r="G153" s="289">
        <f>$E153*F153</f>
        <v>0</v>
      </c>
      <c r="H153" s="379">
        <v>0</v>
      </c>
      <c r="I153" s="379">
        <f>E153*H153</f>
        <v>0</v>
      </c>
      <c r="J153" s="379"/>
      <c r="K153" s="379"/>
      <c r="L153" s="65"/>
      <c r="M153" s="28"/>
      <c r="N153" s="28"/>
      <c r="O153" s="101"/>
      <c r="P153" s="101"/>
      <c r="Q153" s="101"/>
      <c r="R153" s="101"/>
      <c r="S153" s="128"/>
      <c r="T153" s="129"/>
      <c r="U153" s="128"/>
      <c r="V153" s="128"/>
      <c r="W153" s="128"/>
      <c r="X153" s="128"/>
      <c r="Y153" s="128"/>
      <c r="Z153" s="128"/>
      <c r="AA153" s="128">
        <v>12</v>
      </c>
      <c r="AB153" s="128">
        <v>0</v>
      </c>
      <c r="AC153" s="128">
        <v>1</v>
      </c>
      <c r="AD153" s="128"/>
      <c r="AE153" s="128"/>
      <c r="AF153" s="128"/>
      <c r="AG153" s="128"/>
      <c r="AH153" s="128"/>
      <c r="AI153" s="128"/>
      <c r="AJ153" s="128"/>
      <c r="AK153" s="128"/>
      <c r="AL153" s="128"/>
      <c r="AM153" s="128"/>
      <c r="AN153" s="128"/>
      <c r="AO153" s="128"/>
      <c r="AP153" s="128"/>
      <c r="AQ153" s="128"/>
      <c r="AR153" s="128"/>
      <c r="AS153" s="128"/>
      <c r="AT153" s="128"/>
      <c r="AU153" s="128"/>
      <c r="AV153" s="128"/>
      <c r="AW153" s="128"/>
      <c r="AX153" s="128"/>
      <c r="AY153" s="128"/>
      <c r="AZ153" s="128"/>
      <c r="BA153" s="128"/>
      <c r="BB153" s="128">
        <v>2</v>
      </c>
      <c r="BC153" s="128">
        <v>0</v>
      </c>
      <c r="BD153" s="128">
        <v>-695400</v>
      </c>
      <c r="BE153" s="128">
        <v>0</v>
      </c>
      <c r="BF153" s="128">
        <v>0</v>
      </c>
      <c r="BG153" s="128">
        <v>0</v>
      </c>
    </row>
    <row r="154" spans="1:59" s="475" customFormat="1" ht="28.5" customHeight="1">
      <c r="A154" s="290"/>
      <c r="B154" s="291"/>
      <c r="C154" s="336" t="s">
        <v>298</v>
      </c>
      <c r="D154" s="396">
        <f>(1.5+2.9)*2*2+(5.5+2.9)*2*3+(2.75+2.9)*2*1+(2.6+1.8)*2*1+(3.1+2.9)*2*1+(1.5+2.1)*2*2+(2.5+2.1)*2*8+(2.6+5)*2*1</f>
        <v>203.29999999999998</v>
      </c>
      <c r="E154" s="292"/>
      <c r="F154" s="292"/>
      <c r="G154" s="293"/>
      <c r="H154" s="470"/>
      <c r="I154" s="470"/>
      <c r="J154" s="470"/>
      <c r="K154" s="470"/>
      <c r="L154" s="471"/>
      <c r="M154" s="414"/>
      <c r="N154" s="414"/>
      <c r="O154" s="472"/>
      <c r="P154" s="472"/>
      <c r="Q154" s="472"/>
      <c r="R154" s="472"/>
      <c r="S154" s="473"/>
      <c r="T154" s="474"/>
      <c r="U154" s="473"/>
      <c r="V154" s="473"/>
      <c r="W154" s="473"/>
      <c r="X154" s="473"/>
      <c r="Y154" s="473"/>
      <c r="Z154" s="473"/>
      <c r="AA154" s="473"/>
      <c r="AB154" s="473"/>
      <c r="AC154" s="473"/>
      <c r="AD154" s="473"/>
      <c r="AE154" s="473"/>
      <c r="AF154" s="473"/>
      <c r="AG154" s="473"/>
      <c r="AH154" s="473"/>
      <c r="AI154" s="473"/>
      <c r="AJ154" s="473"/>
      <c r="AK154" s="473"/>
      <c r="AL154" s="473"/>
      <c r="AM154" s="473"/>
      <c r="AN154" s="473"/>
      <c r="AO154" s="473"/>
      <c r="AP154" s="473"/>
      <c r="AQ154" s="473"/>
      <c r="AR154" s="473"/>
      <c r="AS154" s="473"/>
      <c r="AT154" s="473"/>
      <c r="AU154" s="473"/>
      <c r="AV154" s="473"/>
      <c r="AW154" s="473"/>
      <c r="AX154" s="473"/>
      <c r="AY154" s="473"/>
      <c r="AZ154" s="473"/>
      <c r="BA154" s="473"/>
      <c r="BB154" s="473"/>
      <c r="BC154" s="473"/>
      <c r="BD154" s="473"/>
      <c r="BE154" s="473"/>
      <c r="BF154" s="473"/>
      <c r="BG154" s="473"/>
    </row>
    <row r="155" spans="1:59" s="475" customFormat="1" ht="58.5" customHeight="1">
      <c r="A155" s="290"/>
      <c r="B155" s="291"/>
      <c r="C155" s="331" t="s">
        <v>194</v>
      </c>
      <c r="D155" s="396"/>
      <c r="E155" s="292"/>
      <c r="F155" s="292"/>
      <c r="G155" s="293"/>
      <c r="H155" s="470"/>
      <c r="I155" s="470"/>
      <c r="J155" s="470"/>
      <c r="K155" s="470"/>
      <c r="L155" s="471"/>
      <c r="M155" s="414"/>
      <c r="N155" s="414"/>
      <c r="O155" s="472"/>
      <c r="P155" s="472"/>
      <c r="Q155" s="472"/>
      <c r="R155" s="472"/>
      <c r="S155" s="473"/>
      <c r="T155" s="474"/>
      <c r="U155" s="473"/>
      <c r="V155" s="473"/>
      <c r="W155" s="473"/>
      <c r="X155" s="473"/>
      <c r="Y155" s="473"/>
      <c r="Z155" s="473"/>
      <c r="AA155" s="473"/>
      <c r="AB155" s="473"/>
      <c r="AC155" s="473"/>
      <c r="AD155" s="473"/>
      <c r="AE155" s="473"/>
      <c r="AF155" s="473"/>
      <c r="AG155" s="473"/>
      <c r="AH155" s="473"/>
      <c r="AI155" s="473"/>
      <c r="AJ155" s="473"/>
      <c r="AK155" s="473"/>
      <c r="AL155" s="473"/>
      <c r="AM155" s="473"/>
      <c r="AN155" s="473"/>
      <c r="AO155" s="473"/>
      <c r="AP155" s="473"/>
      <c r="AQ155" s="473"/>
      <c r="AR155" s="473"/>
      <c r="AS155" s="473"/>
      <c r="AT155" s="473"/>
      <c r="AU155" s="473"/>
      <c r="AV155" s="473"/>
      <c r="AW155" s="473"/>
      <c r="AX155" s="473"/>
      <c r="AY155" s="473"/>
      <c r="AZ155" s="473"/>
      <c r="BA155" s="473"/>
      <c r="BB155" s="473"/>
      <c r="BC155" s="473"/>
      <c r="BD155" s="473"/>
      <c r="BE155" s="473"/>
      <c r="BF155" s="473"/>
      <c r="BG155" s="473"/>
    </row>
    <row r="156" spans="1:59" s="629" customFormat="1" ht="18.75" customHeight="1">
      <c r="A156" s="617"/>
      <c r="B156" s="618"/>
      <c r="C156" s="619" t="s">
        <v>195</v>
      </c>
      <c r="D156" s="620"/>
      <c r="E156" s="621"/>
      <c r="F156" s="621"/>
      <c r="G156" s="622"/>
      <c r="H156" s="623"/>
      <c r="I156" s="623"/>
      <c r="J156" s="623"/>
      <c r="K156" s="623"/>
      <c r="L156" s="624"/>
      <c r="M156" s="625"/>
      <c r="N156" s="625"/>
      <c r="O156" s="626"/>
      <c r="P156" s="626"/>
      <c r="Q156" s="626"/>
      <c r="R156" s="626"/>
      <c r="S156" s="627"/>
      <c r="T156" s="628"/>
      <c r="U156" s="627"/>
      <c r="V156" s="627"/>
      <c r="W156" s="627"/>
      <c r="X156" s="627"/>
      <c r="Y156" s="627"/>
      <c r="Z156" s="627"/>
      <c r="AA156" s="627"/>
      <c r="AB156" s="627"/>
      <c r="AC156" s="627"/>
      <c r="AD156" s="627"/>
      <c r="AE156" s="627"/>
      <c r="AF156" s="627"/>
      <c r="AG156" s="627"/>
      <c r="AH156" s="627"/>
      <c r="AI156" s="627"/>
      <c r="AJ156" s="627"/>
      <c r="AK156" s="627"/>
      <c r="AL156" s="627"/>
      <c r="AM156" s="627"/>
      <c r="AN156" s="627"/>
      <c r="AO156" s="627"/>
      <c r="AP156" s="627"/>
      <c r="AQ156" s="627"/>
      <c r="AR156" s="627"/>
      <c r="AS156" s="627"/>
      <c r="AT156" s="627"/>
      <c r="AU156" s="627"/>
      <c r="AV156" s="627"/>
      <c r="AW156" s="627"/>
      <c r="AX156" s="627"/>
      <c r="AY156" s="627"/>
      <c r="AZ156" s="627"/>
      <c r="BA156" s="627"/>
      <c r="BB156" s="627"/>
      <c r="BC156" s="627"/>
      <c r="BD156" s="627"/>
      <c r="BE156" s="627"/>
      <c r="BF156" s="627"/>
      <c r="BG156" s="627"/>
    </row>
    <row r="157" spans="1:59" s="130" customFormat="1" ht="57" customHeight="1">
      <c r="A157" s="330" t="s">
        <v>49</v>
      </c>
      <c r="B157" s="715" t="s">
        <v>178</v>
      </c>
      <c r="C157" s="331" t="s">
        <v>180</v>
      </c>
      <c r="D157" s="332" t="s">
        <v>29</v>
      </c>
      <c r="E157" s="299">
        <v>2</v>
      </c>
      <c r="F157" s="299">
        <v>0</v>
      </c>
      <c r="G157" s="289">
        <f aca="true" t="shared" si="20" ref="G157:G173">$E157*F157</f>
        <v>0</v>
      </c>
      <c r="H157" s="379"/>
      <c r="I157" s="379"/>
      <c r="J157" s="379"/>
      <c r="K157" s="379"/>
      <c r="L157" s="65"/>
      <c r="M157" s="28"/>
      <c r="N157" s="28"/>
      <c r="O157" s="101"/>
      <c r="P157" s="101"/>
      <c r="Q157" s="101"/>
      <c r="R157" s="101"/>
      <c r="S157" s="128"/>
      <c r="T157" s="129"/>
      <c r="U157" s="128"/>
      <c r="V157" s="128"/>
      <c r="W157" s="128"/>
      <c r="X157" s="128"/>
      <c r="Y157" s="128"/>
      <c r="Z157" s="128"/>
      <c r="AA157" s="128"/>
      <c r="AB157" s="128"/>
      <c r="AC157" s="128"/>
      <c r="AD157" s="128"/>
      <c r="AE157" s="128"/>
      <c r="AF157" s="128"/>
      <c r="AG157" s="128"/>
      <c r="AH157" s="128"/>
      <c r="AI157" s="128"/>
      <c r="AJ157" s="128"/>
      <c r="AK157" s="128"/>
      <c r="AL157" s="128"/>
      <c r="AM157" s="128"/>
      <c r="AN157" s="128"/>
      <c r="AO157" s="128"/>
      <c r="AP157" s="128"/>
      <c r="AQ157" s="128"/>
      <c r="AR157" s="128"/>
      <c r="AS157" s="128"/>
      <c r="AT157" s="128"/>
      <c r="AU157" s="128"/>
      <c r="AV157" s="128"/>
      <c r="AW157" s="128"/>
      <c r="AX157" s="128"/>
      <c r="AY157" s="128"/>
      <c r="AZ157" s="128"/>
      <c r="BA157" s="128"/>
      <c r="BB157" s="128"/>
      <c r="BC157" s="128"/>
      <c r="BD157" s="128"/>
      <c r="BE157" s="128"/>
      <c r="BF157" s="128"/>
      <c r="BG157" s="128"/>
    </row>
    <row r="158" spans="1:59" s="130" customFormat="1" ht="62.25" customHeight="1">
      <c r="A158" s="330" t="s">
        <v>50</v>
      </c>
      <c r="B158" s="715" t="s">
        <v>179</v>
      </c>
      <c r="C158" s="331" t="s">
        <v>181</v>
      </c>
      <c r="D158" s="332" t="s">
        <v>29</v>
      </c>
      <c r="E158" s="299">
        <v>3</v>
      </c>
      <c r="F158" s="299">
        <v>0</v>
      </c>
      <c r="G158" s="289">
        <f t="shared" si="20"/>
        <v>0</v>
      </c>
      <c r="H158" s="379"/>
      <c r="I158" s="379"/>
      <c r="J158" s="379"/>
      <c r="K158" s="379"/>
      <c r="L158" s="65"/>
      <c r="M158" s="28"/>
      <c r="N158" s="28"/>
      <c r="O158" s="101"/>
      <c r="P158" s="101"/>
      <c r="Q158" s="101"/>
      <c r="R158" s="101"/>
      <c r="S158" s="128"/>
      <c r="T158" s="129"/>
      <c r="U158" s="128"/>
      <c r="V158" s="128"/>
      <c r="W158" s="128"/>
      <c r="X158" s="128"/>
      <c r="Y158" s="128"/>
      <c r="Z158" s="128"/>
      <c r="AA158" s="128">
        <v>12</v>
      </c>
      <c r="AB158" s="128">
        <v>0</v>
      </c>
      <c r="AC158" s="128">
        <v>3</v>
      </c>
      <c r="AD158" s="128"/>
      <c r="AE158" s="128"/>
      <c r="AF158" s="128"/>
      <c r="AG158" s="128"/>
      <c r="AH158" s="128"/>
      <c r="AI158" s="128"/>
      <c r="AJ158" s="128"/>
      <c r="AK158" s="128"/>
      <c r="AL158" s="128"/>
      <c r="AM158" s="128"/>
      <c r="AN158" s="128"/>
      <c r="AO158" s="128"/>
      <c r="AP158" s="128"/>
      <c r="AQ158" s="128"/>
      <c r="AR158" s="128"/>
      <c r="AS158" s="128"/>
      <c r="AT158" s="128"/>
      <c r="AU158" s="128"/>
      <c r="AV158" s="128"/>
      <c r="AW158" s="128"/>
      <c r="AX158" s="128"/>
      <c r="AY158" s="128"/>
      <c r="AZ158" s="128"/>
      <c r="BA158" s="128"/>
      <c r="BB158" s="128">
        <v>2</v>
      </c>
      <c r="BC158" s="128">
        <f>IF(BB158=1,G158,0)</f>
        <v>0</v>
      </c>
      <c r="BD158" s="128">
        <f>IF(BB158=2,G158,0)</f>
        <v>0</v>
      </c>
      <c r="BE158" s="128">
        <f>IF(BB158=3,G158,0)</f>
        <v>0</v>
      </c>
      <c r="BF158" s="128">
        <f>IF(BB158=4,G158,0)</f>
        <v>0</v>
      </c>
      <c r="BG158" s="128">
        <f>IF(BB158=5,G158,0)</f>
        <v>0</v>
      </c>
    </row>
    <row r="159" spans="1:59" s="130" customFormat="1" ht="62.25" customHeight="1">
      <c r="A159" s="330" t="s">
        <v>51</v>
      </c>
      <c r="B159" s="715" t="s">
        <v>182</v>
      </c>
      <c r="C159" s="331" t="s">
        <v>183</v>
      </c>
      <c r="D159" s="332" t="s">
        <v>29</v>
      </c>
      <c r="E159" s="299">
        <v>1</v>
      </c>
      <c r="F159" s="299">
        <v>0</v>
      </c>
      <c r="G159" s="289">
        <f t="shared" si="20"/>
        <v>0</v>
      </c>
      <c r="H159" s="379"/>
      <c r="I159" s="379"/>
      <c r="J159" s="379"/>
      <c r="K159" s="379"/>
      <c r="L159" s="65"/>
      <c r="M159" s="28"/>
      <c r="N159" s="28"/>
      <c r="O159" s="101"/>
      <c r="P159" s="101"/>
      <c r="Q159" s="101"/>
      <c r="R159" s="101"/>
      <c r="S159" s="128"/>
      <c r="T159" s="129"/>
      <c r="U159" s="128"/>
      <c r="V159" s="128"/>
      <c r="W159" s="128"/>
      <c r="X159" s="128"/>
      <c r="Y159" s="128"/>
      <c r="Z159" s="128"/>
      <c r="AA159" s="128">
        <v>12</v>
      </c>
      <c r="AB159" s="128">
        <v>0</v>
      </c>
      <c r="AC159" s="128">
        <v>3</v>
      </c>
      <c r="AD159" s="128"/>
      <c r="AE159" s="128"/>
      <c r="AF159" s="128"/>
      <c r="AG159" s="128"/>
      <c r="AH159" s="128"/>
      <c r="AI159" s="128"/>
      <c r="AJ159" s="128"/>
      <c r="AK159" s="128"/>
      <c r="AL159" s="128"/>
      <c r="AM159" s="128"/>
      <c r="AN159" s="128"/>
      <c r="AO159" s="128"/>
      <c r="AP159" s="128"/>
      <c r="AQ159" s="128"/>
      <c r="AR159" s="128"/>
      <c r="AS159" s="128"/>
      <c r="AT159" s="128"/>
      <c r="AU159" s="128"/>
      <c r="AV159" s="128"/>
      <c r="AW159" s="128"/>
      <c r="AX159" s="128"/>
      <c r="AY159" s="128"/>
      <c r="AZ159" s="128"/>
      <c r="BA159" s="128"/>
      <c r="BB159" s="128">
        <v>2</v>
      </c>
      <c r="BC159" s="128">
        <f>IF(BB159=1,G159,0)</f>
        <v>0</v>
      </c>
      <c r="BD159" s="128">
        <f>IF(BB159=2,G159,0)</f>
        <v>0</v>
      </c>
      <c r="BE159" s="128">
        <f>IF(BB159=3,G159,0)</f>
        <v>0</v>
      </c>
      <c r="BF159" s="128">
        <f>IF(BB159=4,G159,0)</f>
        <v>0</v>
      </c>
      <c r="BG159" s="128">
        <f>IF(BB159=5,G159,0)</f>
        <v>0</v>
      </c>
    </row>
    <row r="160" spans="1:59" s="130" customFormat="1" ht="47.25" customHeight="1">
      <c r="A160" s="330" t="s">
        <v>236</v>
      </c>
      <c r="B160" s="715" t="s">
        <v>184</v>
      </c>
      <c r="C160" s="331" t="s">
        <v>185</v>
      </c>
      <c r="D160" s="332" t="s">
        <v>29</v>
      </c>
      <c r="E160" s="299">
        <v>1</v>
      </c>
      <c r="F160" s="299">
        <v>0</v>
      </c>
      <c r="G160" s="289">
        <f t="shared" si="20"/>
        <v>0</v>
      </c>
      <c r="H160" s="379"/>
      <c r="I160" s="379"/>
      <c r="J160" s="379"/>
      <c r="K160" s="379"/>
      <c r="L160" s="65"/>
      <c r="M160" s="28"/>
      <c r="N160" s="28"/>
      <c r="O160" s="101"/>
      <c r="P160" s="101"/>
      <c r="Q160" s="101"/>
      <c r="R160" s="101"/>
      <c r="S160" s="128"/>
      <c r="T160" s="129"/>
      <c r="U160" s="128"/>
      <c r="V160" s="128"/>
      <c r="W160" s="128"/>
      <c r="X160" s="128"/>
      <c r="Y160" s="128"/>
      <c r="Z160" s="128"/>
      <c r="AA160" s="128">
        <v>12</v>
      </c>
      <c r="AB160" s="128">
        <v>0</v>
      </c>
      <c r="AC160" s="128">
        <v>3</v>
      </c>
      <c r="AD160" s="128"/>
      <c r="AE160" s="128"/>
      <c r="AF160" s="128"/>
      <c r="AG160" s="128"/>
      <c r="AH160" s="128"/>
      <c r="AI160" s="128"/>
      <c r="AJ160" s="128"/>
      <c r="AK160" s="128"/>
      <c r="AL160" s="128"/>
      <c r="AM160" s="128"/>
      <c r="AN160" s="128"/>
      <c r="AO160" s="128"/>
      <c r="AP160" s="128"/>
      <c r="AQ160" s="128"/>
      <c r="AR160" s="128"/>
      <c r="AS160" s="128"/>
      <c r="AT160" s="128"/>
      <c r="AU160" s="128"/>
      <c r="AV160" s="128"/>
      <c r="AW160" s="128"/>
      <c r="AX160" s="128"/>
      <c r="AY160" s="128"/>
      <c r="AZ160" s="128"/>
      <c r="BA160" s="128"/>
      <c r="BB160" s="128">
        <v>2</v>
      </c>
      <c r="BC160" s="128">
        <f>IF(BB160=1,G160,0)</f>
        <v>0</v>
      </c>
      <c r="BD160" s="128">
        <f>IF(BB160=2,G160,0)</f>
        <v>0</v>
      </c>
      <c r="BE160" s="128">
        <f>IF(BB160=3,G160,0)</f>
        <v>0</v>
      </c>
      <c r="BF160" s="128">
        <f>IF(BB160=4,G160,0)</f>
        <v>0</v>
      </c>
      <c r="BG160" s="128">
        <f>IF(BB160=5,G160,0)</f>
        <v>0</v>
      </c>
    </row>
    <row r="161" spans="1:59" s="130" customFormat="1" ht="59.25" customHeight="1">
      <c r="A161" s="330" t="s">
        <v>237</v>
      </c>
      <c r="B161" s="715" t="s">
        <v>186</v>
      </c>
      <c r="C161" s="331" t="s">
        <v>187</v>
      </c>
      <c r="D161" s="332" t="s">
        <v>29</v>
      </c>
      <c r="E161" s="299">
        <v>1</v>
      </c>
      <c r="F161" s="299">
        <v>0</v>
      </c>
      <c r="G161" s="289">
        <f t="shared" si="20"/>
        <v>0</v>
      </c>
      <c r="H161" s="379"/>
      <c r="I161" s="379"/>
      <c r="J161" s="379"/>
      <c r="K161" s="379"/>
      <c r="L161" s="65"/>
      <c r="M161" s="28"/>
      <c r="N161" s="28"/>
      <c r="O161" s="101"/>
      <c r="P161" s="101"/>
      <c r="Q161" s="101"/>
      <c r="R161" s="101"/>
      <c r="S161" s="128"/>
      <c r="T161" s="129"/>
      <c r="U161" s="128"/>
      <c r="V161" s="128"/>
      <c r="W161" s="128"/>
      <c r="X161" s="128"/>
      <c r="Y161" s="128"/>
      <c r="Z161" s="128"/>
      <c r="AA161" s="128">
        <v>12</v>
      </c>
      <c r="AB161" s="128">
        <v>0</v>
      </c>
      <c r="AC161" s="128">
        <v>3</v>
      </c>
      <c r="AD161" s="128"/>
      <c r="AE161" s="128"/>
      <c r="AF161" s="128"/>
      <c r="AG161" s="128"/>
      <c r="AH161" s="128"/>
      <c r="AI161" s="128"/>
      <c r="AJ161" s="128"/>
      <c r="AK161" s="128"/>
      <c r="AL161" s="128"/>
      <c r="AM161" s="128"/>
      <c r="AN161" s="128"/>
      <c r="AO161" s="128"/>
      <c r="AP161" s="128"/>
      <c r="AQ161" s="128"/>
      <c r="AR161" s="128"/>
      <c r="AS161" s="128"/>
      <c r="AT161" s="128"/>
      <c r="AU161" s="128"/>
      <c r="AV161" s="128"/>
      <c r="AW161" s="128"/>
      <c r="AX161" s="128"/>
      <c r="AY161" s="128"/>
      <c r="AZ161" s="128"/>
      <c r="BA161" s="128"/>
      <c r="BB161" s="128">
        <v>2</v>
      </c>
      <c r="BC161" s="128">
        <f>IF(BB161=1,G161,0)</f>
        <v>0</v>
      </c>
      <c r="BD161" s="128">
        <f>IF(BB161=2,G161,0)</f>
        <v>0</v>
      </c>
      <c r="BE161" s="128">
        <f>IF(BB161=3,G161,0)</f>
        <v>0</v>
      </c>
      <c r="BF161" s="128">
        <f>IF(BB161=4,G161,0)</f>
        <v>0</v>
      </c>
      <c r="BG161" s="128">
        <f>IF(BB161=5,G161,0)</f>
        <v>0</v>
      </c>
    </row>
    <row r="162" spans="1:59" s="130" customFormat="1" ht="46.5" customHeight="1">
      <c r="A162" s="330" t="s">
        <v>238</v>
      </c>
      <c r="B162" s="715" t="s">
        <v>188</v>
      </c>
      <c r="C162" s="331" t="s">
        <v>191</v>
      </c>
      <c r="D162" s="332" t="s">
        <v>29</v>
      </c>
      <c r="E162" s="299">
        <v>2</v>
      </c>
      <c r="F162" s="299">
        <v>0</v>
      </c>
      <c r="G162" s="289">
        <f t="shared" si="20"/>
        <v>0</v>
      </c>
      <c r="H162" s="379"/>
      <c r="I162" s="379"/>
      <c r="J162" s="379"/>
      <c r="K162" s="379"/>
      <c r="L162" s="65"/>
      <c r="M162" s="28"/>
      <c r="N162" s="28"/>
      <c r="O162" s="101"/>
      <c r="P162" s="101"/>
      <c r="Q162" s="101"/>
      <c r="R162" s="101"/>
      <c r="S162" s="128"/>
      <c r="T162" s="129"/>
      <c r="U162" s="128"/>
      <c r="V162" s="128"/>
      <c r="W162" s="128"/>
      <c r="X162" s="128"/>
      <c r="Y162" s="128"/>
      <c r="Z162" s="128"/>
      <c r="AA162" s="128"/>
      <c r="AB162" s="128"/>
      <c r="AC162" s="128"/>
      <c r="AD162" s="128"/>
      <c r="AE162" s="128"/>
      <c r="AF162" s="128"/>
      <c r="AG162" s="128"/>
      <c r="AH162" s="128"/>
      <c r="AI162" s="128"/>
      <c r="AJ162" s="128"/>
      <c r="AK162" s="128"/>
      <c r="AL162" s="128"/>
      <c r="AM162" s="128"/>
      <c r="AN162" s="128"/>
      <c r="AO162" s="128"/>
      <c r="AP162" s="128"/>
      <c r="AQ162" s="128"/>
      <c r="AR162" s="128"/>
      <c r="AS162" s="128"/>
      <c r="AT162" s="128"/>
      <c r="AU162" s="128"/>
      <c r="AV162" s="128"/>
      <c r="AW162" s="128"/>
      <c r="AX162" s="128"/>
      <c r="AY162" s="128"/>
      <c r="AZ162" s="128"/>
      <c r="BA162" s="128"/>
      <c r="BB162" s="128"/>
      <c r="BC162" s="128"/>
      <c r="BD162" s="128"/>
      <c r="BE162" s="128"/>
      <c r="BF162" s="128"/>
      <c r="BG162" s="128"/>
    </row>
    <row r="163" spans="1:59" s="130" customFormat="1" ht="48" customHeight="1">
      <c r="A163" s="330" t="s">
        <v>391</v>
      </c>
      <c r="B163" s="715" t="s">
        <v>189</v>
      </c>
      <c r="C163" s="331" t="s">
        <v>190</v>
      </c>
      <c r="D163" s="332" t="s">
        <v>29</v>
      </c>
      <c r="E163" s="299">
        <v>8</v>
      </c>
      <c r="F163" s="299">
        <v>0</v>
      </c>
      <c r="G163" s="289">
        <f t="shared" si="20"/>
        <v>0</v>
      </c>
      <c r="H163" s="379"/>
      <c r="I163" s="379"/>
      <c r="J163" s="379"/>
      <c r="K163" s="379"/>
      <c r="L163" s="65"/>
      <c r="M163" s="28"/>
      <c r="N163" s="28"/>
      <c r="O163" s="101"/>
      <c r="P163" s="101"/>
      <c r="Q163" s="101"/>
      <c r="R163" s="101"/>
      <c r="S163" s="128"/>
      <c r="T163" s="129"/>
      <c r="U163" s="128"/>
      <c r="V163" s="128"/>
      <c r="W163" s="128"/>
      <c r="X163" s="128"/>
      <c r="Y163" s="128"/>
      <c r="Z163" s="128"/>
      <c r="AA163" s="128"/>
      <c r="AB163" s="128"/>
      <c r="AC163" s="128"/>
      <c r="AD163" s="128"/>
      <c r="AE163" s="128"/>
      <c r="AF163" s="128"/>
      <c r="AG163" s="128"/>
      <c r="AH163" s="128"/>
      <c r="AI163" s="128"/>
      <c r="AJ163" s="128"/>
      <c r="AK163" s="128"/>
      <c r="AL163" s="128"/>
      <c r="AM163" s="128"/>
      <c r="AN163" s="128"/>
      <c r="AO163" s="128"/>
      <c r="AP163" s="128"/>
      <c r="AQ163" s="128"/>
      <c r="AR163" s="128"/>
      <c r="AS163" s="128"/>
      <c r="AT163" s="128"/>
      <c r="AU163" s="128"/>
      <c r="AV163" s="128"/>
      <c r="AW163" s="128"/>
      <c r="AX163" s="128"/>
      <c r="AY163" s="128"/>
      <c r="AZ163" s="128"/>
      <c r="BA163" s="128"/>
      <c r="BB163" s="128"/>
      <c r="BC163" s="128"/>
      <c r="BD163" s="128"/>
      <c r="BE163" s="128"/>
      <c r="BF163" s="128"/>
      <c r="BG163" s="128"/>
    </row>
    <row r="164" spans="1:59" s="130" customFormat="1" ht="69" customHeight="1">
      <c r="A164" s="330" t="s">
        <v>392</v>
      </c>
      <c r="B164" s="715" t="s">
        <v>192</v>
      </c>
      <c r="C164" s="331" t="s">
        <v>193</v>
      </c>
      <c r="D164" s="332" t="s">
        <v>29</v>
      </c>
      <c r="E164" s="299">
        <v>1</v>
      </c>
      <c r="F164" s="299">
        <v>0</v>
      </c>
      <c r="G164" s="289">
        <f t="shared" si="20"/>
        <v>0</v>
      </c>
      <c r="H164" s="379"/>
      <c r="I164" s="379"/>
      <c r="J164" s="379"/>
      <c r="K164" s="379"/>
      <c r="L164" s="65"/>
      <c r="M164" s="28"/>
      <c r="N164" s="28"/>
      <c r="O164" s="101"/>
      <c r="P164" s="101"/>
      <c r="Q164" s="101"/>
      <c r="R164" s="101"/>
      <c r="S164" s="128"/>
      <c r="T164" s="129"/>
      <c r="U164" s="128"/>
      <c r="V164" s="128"/>
      <c r="W164" s="128"/>
      <c r="X164" s="128"/>
      <c r="Y164" s="128"/>
      <c r="Z164" s="128"/>
      <c r="AA164" s="128"/>
      <c r="AB164" s="128"/>
      <c r="AC164" s="128"/>
      <c r="AD164" s="128"/>
      <c r="AE164" s="128"/>
      <c r="AF164" s="128"/>
      <c r="AG164" s="128"/>
      <c r="AH164" s="128"/>
      <c r="AI164" s="128"/>
      <c r="AJ164" s="128"/>
      <c r="AK164" s="128"/>
      <c r="AL164" s="128"/>
      <c r="AM164" s="128"/>
      <c r="AN164" s="128"/>
      <c r="AO164" s="128"/>
      <c r="AP164" s="128"/>
      <c r="AQ164" s="128"/>
      <c r="AR164" s="128"/>
      <c r="AS164" s="128"/>
      <c r="AT164" s="128"/>
      <c r="AU164" s="128"/>
      <c r="AV164" s="128"/>
      <c r="AW164" s="128"/>
      <c r="AX164" s="128"/>
      <c r="AY164" s="128"/>
      <c r="AZ164" s="128"/>
      <c r="BA164" s="128"/>
      <c r="BB164" s="128"/>
      <c r="BC164" s="128"/>
      <c r="BD164" s="128"/>
      <c r="BE164" s="128"/>
      <c r="BF164" s="128"/>
      <c r="BG164" s="128"/>
    </row>
    <row r="165" spans="1:59" s="130" customFormat="1" ht="13.5" customHeight="1">
      <c r="A165" s="330"/>
      <c r="B165" s="298"/>
      <c r="C165" s="331"/>
      <c r="D165" s="332"/>
      <c r="E165" s="299"/>
      <c r="F165" s="299"/>
      <c r="G165" s="289"/>
      <c r="H165" s="379"/>
      <c r="I165" s="379"/>
      <c r="J165" s="379"/>
      <c r="K165" s="379"/>
      <c r="L165" s="65"/>
      <c r="M165" s="28"/>
      <c r="N165" s="28"/>
      <c r="O165" s="101"/>
      <c r="P165" s="101"/>
      <c r="Q165" s="101"/>
      <c r="R165" s="101"/>
      <c r="S165" s="128"/>
      <c r="T165" s="129"/>
      <c r="U165" s="128"/>
      <c r="V165" s="128"/>
      <c r="W165" s="128"/>
      <c r="X165" s="128"/>
      <c r="Y165" s="128"/>
      <c r="Z165" s="128"/>
      <c r="AA165" s="128"/>
      <c r="AB165" s="128"/>
      <c r="AC165" s="128"/>
      <c r="AD165" s="128"/>
      <c r="AE165" s="128"/>
      <c r="AF165" s="128"/>
      <c r="AG165" s="128"/>
      <c r="AH165" s="128"/>
      <c r="AI165" s="128"/>
      <c r="AJ165" s="128"/>
      <c r="AK165" s="128"/>
      <c r="AL165" s="128"/>
      <c r="AM165" s="128"/>
      <c r="AN165" s="128"/>
      <c r="AO165" s="128"/>
      <c r="AP165" s="128"/>
      <c r="AQ165" s="128"/>
      <c r="AR165" s="128"/>
      <c r="AS165" s="128"/>
      <c r="AT165" s="128"/>
      <c r="AU165" s="128"/>
      <c r="AV165" s="128"/>
      <c r="AW165" s="128"/>
      <c r="AX165" s="128"/>
      <c r="AY165" s="128"/>
      <c r="AZ165" s="128"/>
      <c r="BA165" s="128"/>
      <c r="BB165" s="128"/>
      <c r="BC165" s="128"/>
      <c r="BD165" s="128"/>
      <c r="BE165" s="128"/>
      <c r="BF165" s="128"/>
      <c r="BG165" s="128"/>
    </row>
    <row r="166" spans="1:59" s="130" customFormat="1" ht="84.75" customHeight="1">
      <c r="A166" s="330"/>
      <c r="B166" s="298"/>
      <c r="C166" s="331" t="s">
        <v>196</v>
      </c>
      <c r="D166" s="332"/>
      <c r="E166" s="299"/>
      <c r="F166" s="299"/>
      <c r="G166" s="289"/>
      <c r="H166" s="379"/>
      <c r="I166" s="379"/>
      <c r="J166" s="379"/>
      <c r="K166" s="379"/>
      <c r="L166" s="65"/>
      <c r="M166" s="28"/>
      <c r="N166" s="28"/>
      <c r="O166" s="101"/>
      <c r="P166" s="101"/>
      <c r="Q166" s="101"/>
      <c r="R166" s="101"/>
      <c r="S166" s="128"/>
      <c r="T166" s="129"/>
      <c r="U166" s="128"/>
      <c r="V166" s="128"/>
      <c r="W166" s="128"/>
      <c r="X166" s="128"/>
      <c r="Y166" s="128"/>
      <c r="Z166" s="128"/>
      <c r="AA166" s="128"/>
      <c r="AB166" s="128"/>
      <c r="AC166" s="128"/>
      <c r="AD166" s="128"/>
      <c r="AE166" s="128"/>
      <c r="AF166" s="128"/>
      <c r="AG166" s="128"/>
      <c r="AH166" s="128"/>
      <c r="AI166" s="128"/>
      <c r="AJ166" s="128"/>
      <c r="AK166" s="128"/>
      <c r="AL166" s="128"/>
      <c r="AM166" s="128"/>
      <c r="AN166" s="128"/>
      <c r="AO166" s="128"/>
      <c r="AP166" s="128"/>
      <c r="AQ166" s="128"/>
      <c r="AR166" s="128"/>
      <c r="AS166" s="128"/>
      <c r="AT166" s="128"/>
      <c r="AU166" s="128"/>
      <c r="AV166" s="128"/>
      <c r="AW166" s="128"/>
      <c r="AX166" s="128"/>
      <c r="AY166" s="128"/>
      <c r="AZ166" s="128"/>
      <c r="BA166" s="128"/>
      <c r="BB166" s="128"/>
      <c r="BC166" s="128"/>
      <c r="BD166" s="128"/>
      <c r="BE166" s="128"/>
      <c r="BF166" s="128"/>
      <c r="BG166" s="128"/>
    </row>
    <row r="167" spans="1:59" s="130" customFormat="1" ht="19.5" customHeight="1">
      <c r="A167" s="330" t="s">
        <v>393</v>
      </c>
      <c r="B167" s="298" t="s">
        <v>302</v>
      </c>
      <c r="C167" s="331" t="s">
        <v>306</v>
      </c>
      <c r="D167" s="332" t="s">
        <v>304</v>
      </c>
      <c r="E167" s="299">
        <f>SUM(D168)</f>
        <v>4</v>
      </c>
      <c r="F167" s="299">
        <v>0</v>
      </c>
      <c r="G167" s="289">
        <f t="shared" si="20"/>
        <v>0</v>
      </c>
      <c r="H167" s="379"/>
      <c r="I167" s="379"/>
      <c r="J167" s="379"/>
      <c r="K167" s="379"/>
      <c r="L167" s="65"/>
      <c r="M167" s="28"/>
      <c r="N167" s="28"/>
      <c r="O167" s="101"/>
      <c r="P167" s="101"/>
      <c r="Q167" s="101"/>
      <c r="R167" s="101"/>
      <c r="S167" s="128"/>
      <c r="T167" s="129"/>
      <c r="U167" s="128"/>
      <c r="V167" s="128"/>
      <c r="W167" s="128"/>
      <c r="X167" s="128"/>
      <c r="Y167" s="128"/>
      <c r="Z167" s="128"/>
      <c r="AA167" s="128"/>
      <c r="AB167" s="128"/>
      <c r="AC167" s="128"/>
      <c r="AD167" s="128"/>
      <c r="AE167" s="128"/>
      <c r="AF167" s="128"/>
      <c r="AG167" s="128"/>
      <c r="AH167" s="128"/>
      <c r="AI167" s="128"/>
      <c r="AJ167" s="128"/>
      <c r="AK167" s="128"/>
      <c r="AL167" s="128"/>
      <c r="AM167" s="128"/>
      <c r="AN167" s="128"/>
      <c r="AO167" s="128"/>
      <c r="AP167" s="128"/>
      <c r="AQ167" s="128"/>
      <c r="AR167" s="128"/>
      <c r="AS167" s="128"/>
      <c r="AT167" s="128"/>
      <c r="AU167" s="128"/>
      <c r="AV167" s="128"/>
      <c r="AW167" s="128"/>
      <c r="AX167" s="128"/>
      <c r="AY167" s="128"/>
      <c r="AZ167" s="128"/>
      <c r="BA167" s="128"/>
      <c r="BB167" s="128"/>
      <c r="BC167" s="128"/>
      <c r="BD167" s="128"/>
      <c r="BE167" s="128"/>
      <c r="BF167" s="128"/>
      <c r="BG167" s="128"/>
    </row>
    <row r="168" spans="1:59" s="475" customFormat="1" ht="19.5" customHeight="1">
      <c r="A168" s="290"/>
      <c r="B168" s="291"/>
      <c r="C168" s="336" t="s">
        <v>307</v>
      </c>
      <c r="D168" s="396">
        <f>2+2</f>
        <v>4</v>
      </c>
      <c r="E168" s="292"/>
      <c r="F168" s="292"/>
      <c r="G168" s="293"/>
      <c r="H168" s="470"/>
      <c r="I168" s="470"/>
      <c r="J168" s="470"/>
      <c r="K168" s="470"/>
      <c r="L168" s="471"/>
      <c r="M168" s="414"/>
      <c r="N168" s="414"/>
      <c r="O168" s="472"/>
      <c r="P168" s="472"/>
      <c r="Q168" s="472"/>
      <c r="R168" s="472"/>
      <c r="S168" s="473"/>
      <c r="T168" s="474"/>
      <c r="U168" s="473"/>
      <c r="V168" s="473"/>
      <c r="W168" s="473"/>
      <c r="X168" s="473"/>
      <c r="Y168" s="473"/>
      <c r="Z168" s="473"/>
      <c r="AA168" s="473"/>
      <c r="AB168" s="473"/>
      <c r="AC168" s="473"/>
      <c r="AD168" s="473"/>
      <c r="AE168" s="473"/>
      <c r="AF168" s="473"/>
      <c r="AG168" s="473"/>
      <c r="AH168" s="473"/>
      <c r="AI168" s="473"/>
      <c r="AJ168" s="473"/>
      <c r="AK168" s="473"/>
      <c r="AL168" s="473"/>
      <c r="AM168" s="473"/>
      <c r="AN168" s="473"/>
      <c r="AO168" s="473"/>
      <c r="AP168" s="473"/>
      <c r="AQ168" s="473"/>
      <c r="AR168" s="473"/>
      <c r="AS168" s="473"/>
      <c r="AT168" s="473"/>
      <c r="AU168" s="473"/>
      <c r="AV168" s="473"/>
      <c r="AW168" s="473"/>
      <c r="AX168" s="473"/>
      <c r="AY168" s="473"/>
      <c r="AZ168" s="473"/>
      <c r="BA168" s="473"/>
      <c r="BB168" s="473"/>
      <c r="BC168" s="473"/>
      <c r="BD168" s="473"/>
      <c r="BE168" s="473"/>
      <c r="BF168" s="473"/>
      <c r="BG168" s="473"/>
    </row>
    <row r="169" spans="1:59" s="130" customFormat="1" ht="19.5" customHeight="1">
      <c r="A169" s="330" t="s">
        <v>394</v>
      </c>
      <c r="B169" s="298" t="s">
        <v>302</v>
      </c>
      <c r="C169" s="331" t="s">
        <v>305</v>
      </c>
      <c r="D169" s="332" t="s">
        <v>304</v>
      </c>
      <c r="E169" s="299">
        <f>SUM(D170)</f>
        <v>10</v>
      </c>
      <c r="F169" s="299">
        <v>0</v>
      </c>
      <c r="G169" s="289">
        <f t="shared" si="20"/>
        <v>0</v>
      </c>
      <c r="H169" s="379"/>
      <c r="I169" s="379"/>
      <c r="J169" s="379"/>
      <c r="K169" s="379"/>
      <c r="L169" s="65"/>
      <c r="M169" s="28"/>
      <c r="N169" s="28"/>
      <c r="O169" s="101"/>
      <c r="P169" s="101"/>
      <c r="Q169" s="101"/>
      <c r="R169" s="101"/>
      <c r="S169" s="128"/>
      <c r="T169" s="129"/>
      <c r="U169" s="128"/>
      <c r="V169" s="128"/>
      <c r="W169" s="128"/>
      <c r="X169" s="128"/>
      <c r="Y169" s="128"/>
      <c r="Z169" s="128"/>
      <c r="AA169" s="128"/>
      <c r="AB169" s="128"/>
      <c r="AC169" s="128"/>
      <c r="AD169" s="128"/>
      <c r="AE169" s="128"/>
      <c r="AF169" s="128"/>
      <c r="AG169" s="128"/>
      <c r="AH169" s="128"/>
      <c r="AI169" s="128"/>
      <c r="AJ169" s="128"/>
      <c r="AK169" s="128"/>
      <c r="AL169" s="128"/>
      <c r="AM169" s="128"/>
      <c r="AN169" s="128"/>
      <c r="AO169" s="128"/>
      <c r="AP169" s="128"/>
      <c r="AQ169" s="128"/>
      <c r="AR169" s="128"/>
      <c r="AS169" s="128"/>
      <c r="AT169" s="128"/>
      <c r="AU169" s="128"/>
      <c r="AV169" s="128"/>
      <c r="AW169" s="128"/>
      <c r="AX169" s="128"/>
      <c r="AY169" s="128"/>
      <c r="AZ169" s="128"/>
      <c r="BA169" s="128"/>
      <c r="BB169" s="128"/>
      <c r="BC169" s="128"/>
      <c r="BD169" s="128"/>
      <c r="BE169" s="128"/>
      <c r="BF169" s="128"/>
      <c r="BG169" s="128"/>
    </row>
    <row r="170" spans="1:59" s="475" customFormat="1" ht="18.75" customHeight="1">
      <c r="A170" s="290"/>
      <c r="B170" s="291"/>
      <c r="C170" s="336" t="s">
        <v>308</v>
      </c>
      <c r="D170" s="396">
        <f>1+8+1</f>
        <v>10</v>
      </c>
      <c r="E170" s="292"/>
      <c r="F170" s="292"/>
      <c r="G170" s="293"/>
      <c r="H170" s="470"/>
      <c r="I170" s="470"/>
      <c r="J170" s="470"/>
      <c r="K170" s="470"/>
      <c r="L170" s="471"/>
      <c r="M170" s="414"/>
      <c r="N170" s="414"/>
      <c r="O170" s="472"/>
      <c r="P170" s="472"/>
      <c r="Q170" s="472"/>
      <c r="R170" s="472"/>
      <c r="S170" s="473"/>
      <c r="T170" s="474"/>
      <c r="U170" s="473"/>
      <c r="V170" s="473"/>
      <c r="W170" s="473"/>
      <c r="X170" s="473"/>
      <c r="Y170" s="473"/>
      <c r="Z170" s="473"/>
      <c r="AA170" s="473"/>
      <c r="AB170" s="473"/>
      <c r="AC170" s="473"/>
      <c r="AD170" s="473"/>
      <c r="AE170" s="473"/>
      <c r="AF170" s="473"/>
      <c r="AG170" s="473"/>
      <c r="AH170" s="473"/>
      <c r="AI170" s="473"/>
      <c r="AJ170" s="473"/>
      <c r="AK170" s="473"/>
      <c r="AL170" s="473"/>
      <c r="AM170" s="473"/>
      <c r="AN170" s="473"/>
      <c r="AO170" s="473"/>
      <c r="AP170" s="473"/>
      <c r="AQ170" s="473"/>
      <c r="AR170" s="473"/>
      <c r="AS170" s="473"/>
      <c r="AT170" s="473"/>
      <c r="AU170" s="473"/>
      <c r="AV170" s="473"/>
      <c r="AW170" s="473"/>
      <c r="AX170" s="473"/>
      <c r="AY170" s="473"/>
      <c r="AZ170" s="473"/>
      <c r="BA170" s="473"/>
      <c r="BB170" s="473"/>
      <c r="BC170" s="473"/>
      <c r="BD170" s="473"/>
      <c r="BE170" s="473"/>
      <c r="BF170" s="473"/>
      <c r="BG170" s="473"/>
    </row>
    <row r="171" spans="1:59" s="130" customFormat="1" ht="19.5" customHeight="1">
      <c r="A171" s="330" t="s">
        <v>395</v>
      </c>
      <c r="B171" s="298" t="s">
        <v>302</v>
      </c>
      <c r="C171" s="331" t="s">
        <v>303</v>
      </c>
      <c r="D171" s="332" t="s">
        <v>304</v>
      </c>
      <c r="E171" s="299">
        <f>SUM(D172)</f>
        <v>5</v>
      </c>
      <c r="F171" s="299">
        <v>0</v>
      </c>
      <c r="G171" s="289">
        <f t="shared" si="20"/>
        <v>0</v>
      </c>
      <c r="H171" s="379"/>
      <c r="I171" s="379"/>
      <c r="J171" s="379"/>
      <c r="K171" s="379"/>
      <c r="L171" s="65"/>
      <c r="M171" s="28"/>
      <c r="N171" s="28"/>
      <c r="O171" s="101"/>
      <c r="P171" s="101"/>
      <c r="Q171" s="101"/>
      <c r="R171" s="101"/>
      <c r="S171" s="128"/>
      <c r="T171" s="129"/>
      <c r="U171" s="128"/>
      <c r="V171" s="128"/>
      <c r="W171" s="128"/>
      <c r="X171" s="128"/>
      <c r="Y171" s="128"/>
      <c r="Z171" s="128"/>
      <c r="AA171" s="128"/>
      <c r="AB171" s="128"/>
      <c r="AC171" s="128"/>
      <c r="AD171" s="128"/>
      <c r="AE171" s="128"/>
      <c r="AF171" s="128"/>
      <c r="AG171" s="128"/>
      <c r="AH171" s="128"/>
      <c r="AI171" s="128"/>
      <c r="AJ171" s="128"/>
      <c r="AK171" s="128"/>
      <c r="AL171" s="128"/>
      <c r="AM171" s="128"/>
      <c r="AN171" s="128"/>
      <c r="AO171" s="128"/>
      <c r="AP171" s="128"/>
      <c r="AQ171" s="128"/>
      <c r="AR171" s="128"/>
      <c r="AS171" s="128"/>
      <c r="AT171" s="128"/>
      <c r="AU171" s="128"/>
      <c r="AV171" s="128"/>
      <c r="AW171" s="128"/>
      <c r="AX171" s="128"/>
      <c r="AY171" s="128"/>
      <c r="AZ171" s="128"/>
      <c r="BA171" s="128"/>
      <c r="BB171" s="128"/>
      <c r="BC171" s="128"/>
      <c r="BD171" s="128"/>
      <c r="BE171" s="128"/>
      <c r="BF171" s="128"/>
      <c r="BG171" s="128"/>
    </row>
    <row r="172" spans="1:59" s="475" customFormat="1" ht="19.5" customHeight="1">
      <c r="A172" s="290"/>
      <c r="B172" s="291"/>
      <c r="C172" s="336" t="s">
        <v>309</v>
      </c>
      <c r="D172" s="396">
        <f>3+1+1</f>
        <v>5</v>
      </c>
      <c r="E172" s="292"/>
      <c r="F172" s="292"/>
      <c r="G172" s="293"/>
      <c r="H172" s="470"/>
      <c r="I172" s="470"/>
      <c r="J172" s="470"/>
      <c r="K172" s="470"/>
      <c r="L172" s="471"/>
      <c r="M172" s="414"/>
      <c r="N172" s="414"/>
      <c r="O172" s="472"/>
      <c r="P172" s="472"/>
      <c r="Q172" s="472"/>
      <c r="R172" s="472"/>
      <c r="S172" s="473"/>
      <c r="T172" s="474"/>
      <c r="U172" s="473"/>
      <c r="V172" s="473"/>
      <c r="W172" s="473"/>
      <c r="X172" s="473"/>
      <c r="Y172" s="473"/>
      <c r="Z172" s="473"/>
      <c r="AA172" s="473"/>
      <c r="AB172" s="473"/>
      <c r="AC172" s="473"/>
      <c r="AD172" s="473"/>
      <c r="AE172" s="473"/>
      <c r="AF172" s="473"/>
      <c r="AG172" s="473"/>
      <c r="AH172" s="473"/>
      <c r="AI172" s="473"/>
      <c r="AJ172" s="473"/>
      <c r="AK172" s="473"/>
      <c r="AL172" s="473"/>
      <c r="AM172" s="473"/>
      <c r="AN172" s="473"/>
      <c r="AO172" s="473"/>
      <c r="AP172" s="473"/>
      <c r="AQ172" s="473"/>
      <c r="AR172" s="473"/>
      <c r="AS172" s="473"/>
      <c r="AT172" s="473"/>
      <c r="AU172" s="473"/>
      <c r="AV172" s="473"/>
      <c r="AW172" s="473"/>
      <c r="AX172" s="473"/>
      <c r="AY172" s="473"/>
      <c r="AZ172" s="473"/>
      <c r="BA172" s="473"/>
      <c r="BB172" s="473"/>
      <c r="BC172" s="473"/>
      <c r="BD172" s="473"/>
      <c r="BE172" s="473"/>
      <c r="BF172" s="473"/>
      <c r="BG172" s="473"/>
    </row>
    <row r="173" spans="1:59" s="130" customFormat="1" ht="19.5" customHeight="1">
      <c r="A173" s="330" t="s">
        <v>396</v>
      </c>
      <c r="B173" s="298" t="s">
        <v>299</v>
      </c>
      <c r="C173" s="331" t="s">
        <v>300</v>
      </c>
      <c r="D173" s="332" t="s">
        <v>31</v>
      </c>
      <c r="E173" s="299">
        <f>SUM(D174)</f>
        <v>64.30000000000001</v>
      </c>
      <c r="F173" s="299">
        <v>0</v>
      </c>
      <c r="G173" s="289">
        <f t="shared" si="20"/>
        <v>0</v>
      </c>
      <c r="H173" s="379"/>
      <c r="I173" s="379"/>
      <c r="J173" s="379"/>
      <c r="K173" s="379"/>
      <c r="L173" s="65"/>
      <c r="M173" s="28"/>
      <c r="N173" s="28"/>
      <c r="O173" s="101"/>
      <c r="P173" s="101"/>
      <c r="Q173" s="101"/>
      <c r="R173" s="101"/>
      <c r="S173" s="128"/>
      <c r="T173" s="129"/>
      <c r="U173" s="128"/>
      <c r="V173" s="128"/>
      <c r="W173" s="128"/>
      <c r="X173" s="128"/>
      <c r="Y173" s="128"/>
      <c r="Z173" s="128"/>
      <c r="AA173" s="128"/>
      <c r="AB173" s="128"/>
      <c r="AC173" s="128"/>
      <c r="AD173" s="128"/>
      <c r="AE173" s="128"/>
      <c r="AF173" s="128"/>
      <c r="AG173" s="128"/>
      <c r="AH173" s="128"/>
      <c r="AI173" s="128"/>
      <c r="AJ173" s="128"/>
      <c r="AK173" s="128"/>
      <c r="AL173" s="128"/>
      <c r="AM173" s="128"/>
      <c r="AN173" s="128"/>
      <c r="AO173" s="128"/>
      <c r="AP173" s="128"/>
      <c r="AQ173" s="128"/>
      <c r="AR173" s="128"/>
      <c r="AS173" s="128"/>
      <c r="AT173" s="128"/>
      <c r="AU173" s="128"/>
      <c r="AV173" s="128"/>
      <c r="AW173" s="128"/>
      <c r="AX173" s="128"/>
      <c r="AY173" s="128"/>
      <c r="AZ173" s="128"/>
      <c r="BA173" s="128"/>
      <c r="BB173" s="128"/>
      <c r="BC173" s="128"/>
      <c r="BD173" s="128"/>
      <c r="BE173" s="128"/>
      <c r="BF173" s="128"/>
      <c r="BG173" s="128"/>
    </row>
    <row r="174" spans="1:59" s="475" customFormat="1" ht="28.5" customHeight="1">
      <c r="A174" s="290"/>
      <c r="B174" s="291"/>
      <c r="C174" s="336" t="s">
        <v>301</v>
      </c>
      <c r="D174" s="396">
        <f>((1.5)*2+(5.5)*3+(2.75)*1+(2.6)*1+(3.1)*1+(1.5)*2+(2.5)*8+(2.6)*1)*1.2+0.04</f>
        <v>64.30000000000001</v>
      </c>
      <c r="E174" s="292"/>
      <c r="F174" s="292"/>
      <c r="G174" s="293"/>
      <c r="H174" s="470"/>
      <c r="I174" s="470"/>
      <c r="J174" s="470"/>
      <c r="K174" s="470"/>
      <c r="L174" s="471"/>
      <c r="M174" s="414"/>
      <c r="N174" s="414"/>
      <c r="O174" s="472"/>
      <c r="P174" s="472"/>
      <c r="Q174" s="472"/>
      <c r="R174" s="472"/>
      <c r="S174" s="473"/>
      <c r="T174" s="474"/>
      <c r="U174" s="473"/>
      <c r="V174" s="473"/>
      <c r="W174" s="473"/>
      <c r="X174" s="473"/>
      <c r="Y174" s="473"/>
      <c r="Z174" s="473"/>
      <c r="AA174" s="473"/>
      <c r="AB174" s="473"/>
      <c r="AC174" s="473"/>
      <c r="AD174" s="473"/>
      <c r="AE174" s="473"/>
      <c r="AF174" s="473"/>
      <c r="AG174" s="473"/>
      <c r="AH174" s="473"/>
      <c r="AI174" s="473"/>
      <c r="AJ174" s="473"/>
      <c r="AK174" s="473"/>
      <c r="AL174" s="473"/>
      <c r="AM174" s="473"/>
      <c r="AN174" s="473"/>
      <c r="AO174" s="473"/>
      <c r="AP174" s="473"/>
      <c r="AQ174" s="473"/>
      <c r="AR174" s="473"/>
      <c r="AS174" s="473"/>
      <c r="AT174" s="473"/>
      <c r="AU174" s="473"/>
      <c r="AV174" s="473"/>
      <c r="AW174" s="473"/>
      <c r="AX174" s="473"/>
      <c r="AY174" s="473"/>
      <c r="AZ174" s="473"/>
      <c r="BA174" s="473"/>
      <c r="BB174" s="473"/>
      <c r="BC174" s="473"/>
      <c r="BD174" s="473"/>
      <c r="BE174" s="473"/>
      <c r="BF174" s="473"/>
      <c r="BG174" s="473"/>
    </row>
    <row r="175" spans="1:22" s="100" customFormat="1" ht="13.5" thickBot="1">
      <c r="A175" s="102"/>
      <c r="B175" s="103"/>
      <c r="C175" s="104"/>
      <c r="D175" s="105"/>
      <c r="E175" s="106"/>
      <c r="F175" s="107"/>
      <c r="G175" s="108"/>
      <c r="H175" s="94"/>
      <c r="I175" s="94"/>
      <c r="J175" s="94"/>
      <c r="K175" s="94"/>
      <c r="L175" s="95"/>
      <c r="M175" s="95"/>
      <c r="N175" s="96"/>
      <c r="O175" s="97"/>
      <c r="P175" s="97"/>
      <c r="Q175" s="97"/>
      <c r="R175" s="97"/>
      <c r="S175" s="98"/>
      <c r="T175" s="99"/>
      <c r="U175" s="98"/>
      <c r="V175" s="98"/>
    </row>
    <row r="176" spans="1:22" s="100" customFormat="1" ht="16.5" customHeight="1" thickBot="1">
      <c r="A176" s="109"/>
      <c r="B176" s="110"/>
      <c r="C176" s="311" t="s">
        <v>34</v>
      </c>
      <c r="D176" s="111"/>
      <c r="E176" s="112"/>
      <c r="F176" s="113"/>
      <c r="G176" s="131">
        <f>SUBTOTAL(9,G152:G175)</f>
        <v>0</v>
      </c>
      <c r="H176" s="94"/>
      <c r="I176" s="114">
        <f>SUM(I152:I175)</f>
        <v>0</v>
      </c>
      <c r="J176" s="94"/>
      <c r="K176" s="94"/>
      <c r="L176" s="95"/>
      <c r="M176" s="95"/>
      <c r="N176" s="96"/>
      <c r="O176" s="97"/>
      <c r="P176" s="97"/>
      <c r="Q176" s="97"/>
      <c r="R176" s="97"/>
      <c r="S176" s="98"/>
      <c r="T176" s="99"/>
      <c r="U176" s="98"/>
      <c r="V176" s="98"/>
    </row>
    <row r="177" spans="1:22" s="100" customFormat="1" ht="13.5" customHeight="1" thickBot="1">
      <c r="A177" s="115"/>
      <c r="B177" s="116"/>
      <c r="C177" s="117"/>
      <c r="D177" s="118"/>
      <c r="E177" s="119"/>
      <c r="F177" s="120"/>
      <c r="G177" s="121"/>
      <c r="H177" s="94"/>
      <c r="I177" s="94"/>
      <c r="J177" s="94"/>
      <c r="K177" s="94"/>
      <c r="L177" s="95"/>
      <c r="M177" s="95"/>
      <c r="N177" s="96"/>
      <c r="O177" s="97"/>
      <c r="P177" s="97"/>
      <c r="Q177" s="97"/>
      <c r="R177" s="97"/>
      <c r="S177" s="98"/>
      <c r="T177" s="99"/>
      <c r="U177" s="98"/>
      <c r="V177" s="98"/>
    </row>
    <row r="178" spans="1:22" s="144" customFormat="1" ht="16.5" customHeight="1" thickBot="1">
      <c r="A178" s="132" t="s">
        <v>52</v>
      </c>
      <c r="B178" s="133" t="s">
        <v>95</v>
      </c>
      <c r="C178" s="134" t="s">
        <v>96</v>
      </c>
      <c r="D178" s="135"/>
      <c r="E178" s="136"/>
      <c r="F178" s="137"/>
      <c r="G178" s="138"/>
      <c r="H178" s="114"/>
      <c r="I178" s="114"/>
      <c r="J178" s="114"/>
      <c r="K178" s="114"/>
      <c r="L178" s="139"/>
      <c r="M178" s="139"/>
      <c r="N178" s="140"/>
      <c r="O178" s="141"/>
      <c r="P178" s="141"/>
      <c r="Q178" s="141"/>
      <c r="R178" s="141"/>
      <c r="S178" s="142"/>
      <c r="T178" s="143"/>
      <c r="U178" s="142"/>
      <c r="V178" s="142"/>
    </row>
    <row r="179" spans="1:22" s="100" customFormat="1" ht="12.75">
      <c r="A179" s="87"/>
      <c r="B179" s="88"/>
      <c r="C179" s="89"/>
      <c r="D179" s="90"/>
      <c r="E179" s="91"/>
      <c r="F179" s="92"/>
      <c r="G179" s="93"/>
      <c r="H179" s="94"/>
      <c r="I179" s="94"/>
      <c r="J179" s="94"/>
      <c r="K179" s="94"/>
      <c r="L179" s="95"/>
      <c r="M179" s="95"/>
      <c r="N179" s="96"/>
      <c r="O179" s="97"/>
      <c r="P179" s="97"/>
      <c r="Q179" s="97"/>
      <c r="R179" s="97"/>
      <c r="S179" s="98"/>
      <c r="T179" s="99"/>
      <c r="U179" s="98"/>
      <c r="V179" s="98"/>
    </row>
    <row r="180" spans="1:59" s="130" customFormat="1" ht="43.5" customHeight="1">
      <c r="A180" s="330" t="s">
        <v>397</v>
      </c>
      <c r="B180" s="298"/>
      <c r="C180" s="331" t="s">
        <v>319</v>
      </c>
      <c r="D180" s="332" t="s">
        <v>94</v>
      </c>
      <c r="E180" s="299">
        <f>SUM(D181)</f>
        <v>41.6</v>
      </c>
      <c r="F180" s="299">
        <v>0</v>
      </c>
      <c r="G180" s="289">
        <f>$E180*F180</f>
        <v>0</v>
      </c>
      <c r="H180" s="379">
        <v>0</v>
      </c>
      <c r="I180" s="379">
        <f>E180*H180</f>
        <v>0</v>
      </c>
      <c r="J180" s="379"/>
      <c r="K180" s="379"/>
      <c r="L180" s="65"/>
      <c r="M180" s="28"/>
      <c r="N180" s="28"/>
      <c r="O180" s="101"/>
      <c r="P180" s="101"/>
      <c r="Q180" s="101"/>
      <c r="R180" s="101"/>
      <c r="S180" s="128"/>
      <c r="T180" s="129"/>
      <c r="U180" s="128"/>
      <c r="V180" s="128"/>
      <c r="W180" s="128"/>
      <c r="X180" s="128"/>
      <c r="Y180" s="128"/>
      <c r="Z180" s="128"/>
      <c r="AA180" s="128">
        <v>12</v>
      </c>
      <c r="AB180" s="128">
        <v>0</v>
      </c>
      <c r="AC180" s="128">
        <v>1</v>
      </c>
      <c r="AD180" s="128"/>
      <c r="AE180" s="128"/>
      <c r="AF180" s="128"/>
      <c r="AG180" s="128"/>
      <c r="AH180" s="128"/>
      <c r="AI180" s="128"/>
      <c r="AJ180" s="128"/>
      <c r="AK180" s="128"/>
      <c r="AL180" s="128"/>
      <c r="AM180" s="128"/>
      <c r="AN180" s="128"/>
      <c r="AO180" s="128"/>
      <c r="AP180" s="128"/>
      <c r="AQ180" s="128"/>
      <c r="AR180" s="128"/>
      <c r="AS180" s="128"/>
      <c r="AT180" s="128"/>
      <c r="AU180" s="128"/>
      <c r="AV180" s="128"/>
      <c r="AW180" s="128"/>
      <c r="AX180" s="128"/>
      <c r="AY180" s="128"/>
      <c r="AZ180" s="128"/>
      <c r="BA180" s="128"/>
      <c r="BB180" s="128">
        <v>2</v>
      </c>
      <c r="BC180" s="128">
        <v>0</v>
      </c>
      <c r="BD180" s="128">
        <v>-695400</v>
      </c>
      <c r="BE180" s="128">
        <v>0</v>
      </c>
      <c r="BF180" s="128">
        <v>0</v>
      </c>
      <c r="BG180" s="128">
        <v>0</v>
      </c>
    </row>
    <row r="181" spans="1:59" s="475" customFormat="1" ht="19.5" customHeight="1">
      <c r="A181" s="290"/>
      <c r="B181" s="291"/>
      <c r="C181" s="336" t="s">
        <v>320</v>
      </c>
      <c r="D181" s="396">
        <f>(4.6+3.9)*2+(3.1+3.9)*2+(1.4+3.9)*2</f>
        <v>41.6</v>
      </c>
      <c r="E181" s="292"/>
      <c r="F181" s="292"/>
      <c r="G181" s="293"/>
      <c r="H181" s="470"/>
      <c r="I181" s="470"/>
      <c r="J181" s="470"/>
      <c r="K181" s="470"/>
      <c r="L181" s="471"/>
      <c r="M181" s="414"/>
      <c r="N181" s="414"/>
      <c r="O181" s="472"/>
      <c r="P181" s="472"/>
      <c r="Q181" s="472"/>
      <c r="R181" s="472"/>
      <c r="S181" s="473"/>
      <c r="T181" s="474"/>
      <c r="U181" s="473"/>
      <c r="V181" s="473"/>
      <c r="W181" s="473"/>
      <c r="X181" s="473"/>
      <c r="Y181" s="473"/>
      <c r="Z181" s="473"/>
      <c r="AA181" s="473"/>
      <c r="AB181" s="473"/>
      <c r="AC181" s="473"/>
      <c r="AD181" s="473"/>
      <c r="AE181" s="473"/>
      <c r="AF181" s="473"/>
      <c r="AG181" s="473"/>
      <c r="AH181" s="473"/>
      <c r="AI181" s="473"/>
      <c r="AJ181" s="473"/>
      <c r="AK181" s="473"/>
      <c r="AL181" s="473"/>
      <c r="AM181" s="473"/>
      <c r="AN181" s="473"/>
      <c r="AO181" s="473"/>
      <c r="AP181" s="473"/>
      <c r="AQ181" s="473"/>
      <c r="AR181" s="473"/>
      <c r="AS181" s="473"/>
      <c r="AT181" s="473"/>
      <c r="AU181" s="473"/>
      <c r="AV181" s="473"/>
      <c r="AW181" s="473"/>
      <c r="AX181" s="473"/>
      <c r="AY181" s="473"/>
      <c r="AZ181" s="473"/>
      <c r="BA181" s="473"/>
      <c r="BB181" s="473"/>
      <c r="BC181" s="473"/>
      <c r="BD181" s="473"/>
      <c r="BE181" s="473"/>
      <c r="BF181" s="473"/>
      <c r="BG181" s="473"/>
    </row>
    <row r="182" spans="1:59" s="639" customFormat="1" ht="19.5" customHeight="1">
      <c r="A182" s="630"/>
      <c r="B182" s="631"/>
      <c r="C182" s="619" t="s">
        <v>201</v>
      </c>
      <c r="D182" s="632"/>
      <c r="E182" s="633"/>
      <c r="F182" s="633"/>
      <c r="G182" s="469"/>
      <c r="H182" s="503"/>
      <c r="I182" s="503"/>
      <c r="J182" s="503"/>
      <c r="K182" s="503"/>
      <c r="L182" s="634"/>
      <c r="M182" s="635"/>
      <c r="N182" s="635"/>
      <c r="O182" s="636"/>
      <c r="P182" s="636"/>
      <c r="Q182" s="636"/>
      <c r="R182" s="636"/>
      <c r="S182" s="637"/>
      <c r="T182" s="638"/>
      <c r="U182" s="637"/>
      <c r="V182" s="637"/>
      <c r="W182" s="637"/>
      <c r="X182" s="637"/>
      <c r="Y182" s="637"/>
      <c r="Z182" s="637"/>
      <c r="AA182" s="637"/>
      <c r="AB182" s="637"/>
      <c r="AC182" s="637"/>
      <c r="AD182" s="637"/>
      <c r="AE182" s="637"/>
      <c r="AF182" s="637"/>
      <c r="AG182" s="637"/>
      <c r="AH182" s="637"/>
      <c r="AI182" s="637"/>
      <c r="AJ182" s="637"/>
      <c r="AK182" s="637"/>
      <c r="AL182" s="637"/>
      <c r="AM182" s="637"/>
      <c r="AN182" s="637"/>
      <c r="AO182" s="637"/>
      <c r="AP182" s="637"/>
      <c r="AQ182" s="637"/>
      <c r="AR182" s="637"/>
      <c r="AS182" s="637"/>
      <c r="AT182" s="637"/>
      <c r="AU182" s="637"/>
      <c r="AV182" s="637"/>
      <c r="AW182" s="637"/>
      <c r="AX182" s="637"/>
      <c r="AY182" s="637"/>
      <c r="AZ182" s="637"/>
      <c r="BA182" s="637"/>
      <c r="BB182" s="637"/>
      <c r="BC182" s="637"/>
      <c r="BD182" s="637"/>
      <c r="BE182" s="637"/>
      <c r="BF182" s="637"/>
      <c r="BG182" s="637"/>
    </row>
    <row r="183" spans="1:20" s="384" customFormat="1" ht="85.5" customHeight="1">
      <c r="A183" s="374" t="s">
        <v>86</v>
      </c>
      <c r="B183" s="687" t="s">
        <v>197</v>
      </c>
      <c r="C183" s="304" t="s">
        <v>257</v>
      </c>
      <c r="D183" s="332" t="s">
        <v>29</v>
      </c>
      <c r="E183" s="299">
        <v>1</v>
      </c>
      <c r="F183" s="299">
        <v>0</v>
      </c>
      <c r="G183" s="289">
        <f aca="true" t="shared" si="21" ref="G183:G185">$E183*F183</f>
        <v>0</v>
      </c>
      <c r="H183" s="382"/>
      <c r="I183" s="379"/>
      <c r="J183" s="382"/>
      <c r="K183" s="382"/>
      <c r="L183" s="383"/>
      <c r="M183" s="383"/>
      <c r="N183" s="383"/>
      <c r="O183" s="383"/>
      <c r="P183" s="383"/>
      <c r="Q183" s="383"/>
      <c r="R183" s="383"/>
      <c r="T183" s="385"/>
    </row>
    <row r="184" spans="1:20" s="384" customFormat="1" ht="91.5" customHeight="1">
      <c r="A184" s="374" t="s">
        <v>398</v>
      </c>
      <c r="B184" s="687" t="s">
        <v>198</v>
      </c>
      <c r="C184" s="304" t="s">
        <v>258</v>
      </c>
      <c r="D184" s="332" t="s">
        <v>29</v>
      </c>
      <c r="E184" s="299">
        <v>1</v>
      </c>
      <c r="F184" s="299">
        <v>0</v>
      </c>
      <c r="G184" s="289">
        <f t="shared" si="21"/>
        <v>0</v>
      </c>
      <c r="H184" s="382"/>
      <c r="I184" s="379"/>
      <c r="J184" s="382"/>
      <c r="K184" s="382"/>
      <c r="L184" s="383"/>
      <c r="M184" s="383"/>
      <c r="N184" s="383"/>
      <c r="O184" s="383"/>
      <c r="P184" s="383"/>
      <c r="Q184" s="383"/>
      <c r="R184" s="383"/>
      <c r="T184" s="385"/>
    </row>
    <row r="185" spans="1:20" s="384" customFormat="1" ht="75.75" customHeight="1">
      <c r="A185" s="374" t="s">
        <v>399</v>
      </c>
      <c r="B185" s="687" t="s">
        <v>199</v>
      </c>
      <c r="C185" s="304" t="s">
        <v>200</v>
      </c>
      <c r="D185" s="332" t="s">
        <v>29</v>
      </c>
      <c r="E185" s="299">
        <v>1</v>
      </c>
      <c r="F185" s="299">
        <v>0</v>
      </c>
      <c r="G185" s="289">
        <f t="shared" si="21"/>
        <v>0</v>
      </c>
      <c r="H185" s="382"/>
      <c r="I185" s="379"/>
      <c r="J185" s="382"/>
      <c r="K185" s="382"/>
      <c r="L185" s="383"/>
      <c r="M185" s="383"/>
      <c r="N185" s="383"/>
      <c r="O185" s="383"/>
      <c r="P185" s="383"/>
      <c r="Q185" s="383"/>
      <c r="R185" s="383"/>
      <c r="T185" s="385"/>
    </row>
    <row r="186" spans="1:20" s="384" customFormat="1" ht="18.75" customHeight="1">
      <c r="A186" s="374"/>
      <c r="B186" s="380"/>
      <c r="C186" s="304"/>
      <c r="D186" s="305"/>
      <c r="E186" s="381"/>
      <c r="F186" s="381"/>
      <c r="G186" s="26"/>
      <c r="H186" s="382"/>
      <c r="I186" s="379"/>
      <c r="J186" s="382"/>
      <c r="K186" s="382"/>
      <c r="L186" s="383"/>
      <c r="M186" s="383"/>
      <c r="N186" s="383"/>
      <c r="O186" s="383"/>
      <c r="P186" s="383"/>
      <c r="Q186" s="383"/>
      <c r="R186" s="383"/>
      <c r="T186" s="385"/>
    </row>
    <row r="187" spans="1:20" s="384" customFormat="1" ht="54.75" customHeight="1">
      <c r="A187" s="374"/>
      <c r="B187" s="468" t="s">
        <v>39</v>
      </c>
      <c r="C187" s="304" t="s">
        <v>202</v>
      </c>
      <c r="D187" s="305"/>
      <c r="E187" s="381"/>
      <c r="F187" s="381"/>
      <c r="G187" s="26"/>
      <c r="H187" s="382"/>
      <c r="I187" s="379"/>
      <c r="J187" s="382"/>
      <c r="K187" s="382"/>
      <c r="L187" s="383"/>
      <c r="M187" s="383"/>
      <c r="N187" s="383"/>
      <c r="O187" s="383"/>
      <c r="P187" s="383"/>
      <c r="Q187" s="383"/>
      <c r="R187" s="383"/>
      <c r="T187" s="385"/>
    </row>
    <row r="188" spans="1:20" s="384" customFormat="1" ht="43.5" customHeight="1">
      <c r="A188" s="374"/>
      <c r="B188" s="380"/>
      <c r="C188" s="304" t="s">
        <v>212</v>
      </c>
      <c r="D188" s="305"/>
      <c r="E188" s="381"/>
      <c r="F188" s="381"/>
      <c r="G188" s="26"/>
      <c r="H188" s="382"/>
      <c r="I188" s="379"/>
      <c r="J188" s="382"/>
      <c r="K188" s="382"/>
      <c r="L188" s="383"/>
      <c r="M188" s="383"/>
      <c r="N188" s="383"/>
      <c r="O188" s="383"/>
      <c r="P188" s="383"/>
      <c r="Q188" s="383"/>
      <c r="R188" s="383"/>
      <c r="T188" s="385"/>
    </row>
    <row r="189" spans="1:20" s="384" customFormat="1" ht="44.25" customHeight="1">
      <c r="A189" s="374"/>
      <c r="B189" s="380"/>
      <c r="C189" s="304" t="s">
        <v>203</v>
      </c>
      <c r="D189" s="305"/>
      <c r="E189" s="381"/>
      <c r="F189" s="381"/>
      <c r="G189" s="26"/>
      <c r="H189" s="382"/>
      <c r="I189" s="379"/>
      <c r="J189" s="382"/>
      <c r="K189" s="382"/>
      <c r="L189" s="383"/>
      <c r="M189" s="383"/>
      <c r="N189" s="383"/>
      <c r="O189" s="383"/>
      <c r="P189" s="383"/>
      <c r="Q189" s="383"/>
      <c r="R189" s="383"/>
      <c r="T189" s="385"/>
    </row>
    <row r="190" spans="1:22" s="100" customFormat="1" ht="13.5" thickBot="1">
      <c r="A190" s="102"/>
      <c r="B190" s="103"/>
      <c r="C190" s="104"/>
      <c r="D190" s="105"/>
      <c r="E190" s="106"/>
      <c r="F190" s="107"/>
      <c r="G190" s="108"/>
      <c r="H190" s="94"/>
      <c r="I190" s="94"/>
      <c r="J190" s="94"/>
      <c r="K190" s="94"/>
      <c r="L190" s="95"/>
      <c r="M190" s="95"/>
      <c r="N190" s="96"/>
      <c r="O190" s="97"/>
      <c r="P190" s="97"/>
      <c r="Q190" s="97"/>
      <c r="R190" s="97"/>
      <c r="S190" s="98"/>
      <c r="T190" s="99"/>
      <c r="U190" s="98"/>
      <c r="V190" s="98"/>
    </row>
    <row r="191" spans="1:22" s="100" customFormat="1" ht="16.5" customHeight="1" thickBot="1">
      <c r="A191" s="109"/>
      <c r="B191" s="110"/>
      <c r="C191" s="311" t="s">
        <v>34</v>
      </c>
      <c r="D191" s="111"/>
      <c r="E191" s="112"/>
      <c r="F191" s="113"/>
      <c r="G191" s="131">
        <f>SUBTOTAL(9,G179:G190)</f>
        <v>0</v>
      </c>
      <c r="H191" s="94"/>
      <c r="I191" s="114">
        <f>SUM(I179:I190)</f>
        <v>0</v>
      </c>
      <c r="J191" s="94"/>
      <c r="K191" s="94"/>
      <c r="L191" s="95"/>
      <c r="M191" s="95"/>
      <c r="N191" s="96"/>
      <c r="O191" s="97"/>
      <c r="P191" s="97"/>
      <c r="Q191" s="97"/>
      <c r="R191" s="97"/>
      <c r="S191" s="98"/>
      <c r="T191" s="99"/>
      <c r="U191" s="98"/>
      <c r="V191" s="98"/>
    </row>
    <row r="192" spans="1:22" s="100" customFormat="1" ht="13.5" customHeight="1" thickBot="1">
      <c r="A192" s="115"/>
      <c r="B192" s="116"/>
      <c r="C192" s="117"/>
      <c r="D192" s="118"/>
      <c r="E192" s="119"/>
      <c r="F192" s="120"/>
      <c r="G192" s="121"/>
      <c r="H192" s="94"/>
      <c r="I192" s="94"/>
      <c r="J192" s="94"/>
      <c r="K192" s="94"/>
      <c r="L192" s="95"/>
      <c r="M192" s="95"/>
      <c r="N192" s="96"/>
      <c r="O192" s="97"/>
      <c r="P192" s="97"/>
      <c r="Q192" s="97"/>
      <c r="R192" s="97"/>
      <c r="S192" s="98"/>
      <c r="T192" s="99"/>
      <c r="U192" s="98"/>
      <c r="V192" s="98"/>
    </row>
    <row r="193" spans="1:20" s="280" customFormat="1" ht="16.5" customHeight="1" thickBot="1">
      <c r="A193" s="272" t="s">
        <v>24</v>
      </c>
      <c r="B193" s="273" t="s">
        <v>97</v>
      </c>
      <c r="C193" s="274" t="s">
        <v>98</v>
      </c>
      <c r="D193" s="275"/>
      <c r="E193" s="276"/>
      <c r="F193" s="277"/>
      <c r="G193" s="278"/>
      <c r="H193" s="262"/>
      <c r="I193" s="262"/>
      <c r="J193" s="262"/>
      <c r="K193" s="262"/>
      <c r="L193" s="279"/>
      <c r="M193" s="279"/>
      <c r="N193" s="279"/>
      <c r="O193" s="279"/>
      <c r="P193" s="279"/>
      <c r="Q193" s="279"/>
      <c r="R193" s="279"/>
      <c r="T193" s="281"/>
    </row>
    <row r="194" spans="1:20" s="156" customFormat="1" ht="12" customHeight="1">
      <c r="A194" s="386"/>
      <c r="B194" s="387"/>
      <c r="C194" s="388"/>
      <c r="D194" s="389"/>
      <c r="E194" s="390"/>
      <c r="F194" s="287"/>
      <c r="G194" s="288"/>
      <c r="H194" s="169"/>
      <c r="I194" s="169"/>
      <c r="J194" s="169"/>
      <c r="K194" s="169"/>
      <c r="L194" s="155"/>
      <c r="M194" s="155"/>
      <c r="N194" s="155"/>
      <c r="O194" s="155"/>
      <c r="P194" s="155"/>
      <c r="Q194" s="155"/>
      <c r="R194" s="155"/>
      <c r="T194" s="157"/>
    </row>
    <row r="195" spans="1:20" s="328" customFormat="1" ht="15.75" customHeight="1">
      <c r="A195" s="54" t="s">
        <v>53</v>
      </c>
      <c r="B195" s="50" t="s">
        <v>136</v>
      </c>
      <c r="C195" s="391" t="s">
        <v>99</v>
      </c>
      <c r="D195" s="392" t="s">
        <v>26</v>
      </c>
      <c r="E195" s="393">
        <f>SUM(D196)</f>
        <v>253.50000000000003</v>
      </c>
      <c r="F195" s="393">
        <v>0</v>
      </c>
      <c r="G195" s="41">
        <f>$E195*F195</f>
        <v>0</v>
      </c>
      <c r="H195" s="394">
        <v>0.01838</v>
      </c>
      <c r="I195" s="379">
        <f aca="true" t="shared" si="22" ref="I195:I202">E195*H195</f>
        <v>4.659330000000001</v>
      </c>
      <c r="J195" s="394"/>
      <c r="K195" s="394"/>
      <c r="L195" s="327"/>
      <c r="M195" s="327"/>
      <c r="N195" s="327"/>
      <c r="O195" s="327"/>
      <c r="P195" s="327"/>
      <c r="Q195" s="327"/>
      <c r="R195" s="327"/>
      <c r="T195" s="329"/>
    </row>
    <row r="196" spans="1:20" s="401" customFormat="1" ht="15.75" customHeight="1">
      <c r="A196" s="354"/>
      <c r="B196" s="355"/>
      <c r="C196" s="395" t="s">
        <v>372</v>
      </c>
      <c r="D196" s="396">
        <f>14.8*8*2+3.7*4.5+0.05</f>
        <v>253.50000000000003</v>
      </c>
      <c r="E196" s="397"/>
      <c r="F196" s="396"/>
      <c r="G196" s="398"/>
      <c r="H196" s="399"/>
      <c r="I196" s="379"/>
      <c r="J196" s="399"/>
      <c r="K196" s="399"/>
      <c r="L196" s="400"/>
      <c r="M196" s="400"/>
      <c r="N196" s="400"/>
      <c r="O196" s="400"/>
      <c r="P196" s="400"/>
      <c r="Q196" s="400"/>
      <c r="R196" s="400"/>
      <c r="T196" s="402"/>
    </row>
    <row r="197" spans="1:20" s="328" customFormat="1" ht="15.75" customHeight="1">
      <c r="A197" s="54" t="s">
        <v>54</v>
      </c>
      <c r="B197" s="50" t="s">
        <v>137</v>
      </c>
      <c r="C197" s="391" t="s">
        <v>100</v>
      </c>
      <c r="D197" s="392" t="s">
        <v>26</v>
      </c>
      <c r="E197" s="393">
        <f>E195*1</f>
        <v>253.50000000000003</v>
      </c>
      <c r="F197" s="393">
        <v>0</v>
      </c>
      <c r="G197" s="41">
        <f aca="true" t="shared" si="23" ref="G197:G205">$E197*F197</f>
        <v>0</v>
      </c>
      <c r="H197" s="394">
        <v>0.00085</v>
      </c>
      <c r="I197" s="379">
        <f t="shared" si="22"/>
        <v>0.215475</v>
      </c>
      <c r="J197" s="394"/>
      <c r="K197" s="394"/>
      <c r="L197" s="327"/>
      <c r="M197" s="327"/>
      <c r="N197" s="327"/>
      <c r="O197" s="327"/>
      <c r="P197" s="327"/>
      <c r="Q197" s="327"/>
      <c r="R197" s="327"/>
      <c r="T197" s="329"/>
    </row>
    <row r="198" spans="1:20" s="328" customFormat="1" ht="15.75" customHeight="1">
      <c r="A198" s="54" t="s">
        <v>55</v>
      </c>
      <c r="B198" s="50" t="s">
        <v>138</v>
      </c>
      <c r="C198" s="391" t="s">
        <v>101</v>
      </c>
      <c r="D198" s="392" t="s">
        <v>26</v>
      </c>
      <c r="E198" s="393">
        <f>E195</f>
        <v>253.50000000000003</v>
      </c>
      <c r="F198" s="393">
        <v>0</v>
      </c>
      <c r="G198" s="41">
        <f t="shared" si="23"/>
        <v>0</v>
      </c>
      <c r="H198" s="394">
        <v>0</v>
      </c>
      <c r="I198" s="379">
        <f t="shared" si="22"/>
        <v>0</v>
      </c>
      <c r="J198" s="394"/>
      <c r="K198" s="394"/>
      <c r="L198" s="327"/>
      <c r="M198" s="327"/>
      <c r="N198" s="327"/>
      <c r="O198" s="327"/>
      <c r="P198" s="327"/>
      <c r="Q198" s="327"/>
      <c r="R198" s="327"/>
      <c r="T198" s="329"/>
    </row>
    <row r="199" spans="1:20" s="328" customFormat="1" ht="15.75" customHeight="1">
      <c r="A199" s="54"/>
      <c r="B199" s="50"/>
      <c r="C199" s="391"/>
      <c r="D199" s="392"/>
      <c r="E199" s="393"/>
      <c r="F199" s="393"/>
      <c r="G199" s="41"/>
      <c r="H199" s="394"/>
      <c r="I199" s="379"/>
      <c r="J199" s="394"/>
      <c r="K199" s="394"/>
      <c r="L199" s="327"/>
      <c r="M199" s="327"/>
      <c r="N199" s="327"/>
      <c r="O199" s="327"/>
      <c r="P199" s="327"/>
      <c r="Q199" s="327"/>
      <c r="R199" s="327"/>
      <c r="T199" s="329"/>
    </row>
    <row r="200" spans="1:20" s="328" customFormat="1" ht="15.75" customHeight="1">
      <c r="A200" s="54" t="s">
        <v>400</v>
      </c>
      <c r="B200" s="50" t="s">
        <v>135</v>
      </c>
      <c r="C200" s="391" t="s">
        <v>102</v>
      </c>
      <c r="D200" s="392" t="s">
        <v>26</v>
      </c>
      <c r="E200" s="393">
        <v>168.5</v>
      </c>
      <c r="F200" s="393">
        <v>0</v>
      </c>
      <c r="G200" s="41">
        <f t="shared" si="23"/>
        <v>0</v>
      </c>
      <c r="H200" s="394">
        <v>0.00121</v>
      </c>
      <c r="I200" s="379">
        <f t="shared" si="22"/>
        <v>0.20388499999999998</v>
      </c>
      <c r="J200" s="394"/>
      <c r="K200" s="394"/>
      <c r="L200" s="327"/>
      <c r="M200" s="327"/>
      <c r="N200" s="327"/>
      <c r="O200" s="327"/>
      <c r="P200" s="327"/>
      <c r="Q200" s="327"/>
      <c r="R200" s="327"/>
      <c r="T200" s="329"/>
    </row>
    <row r="201" spans="1:20" s="401" customFormat="1" ht="20.25" customHeight="1">
      <c r="A201" s="354"/>
      <c r="B201" s="355"/>
      <c r="C201" s="395"/>
      <c r="D201" s="396"/>
      <c r="E201" s="397"/>
      <c r="F201" s="396"/>
      <c r="G201" s="398"/>
      <c r="H201" s="399"/>
      <c r="I201" s="379"/>
      <c r="J201" s="399"/>
      <c r="K201" s="399"/>
      <c r="L201" s="400"/>
      <c r="M201" s="400"/>
      <c r="N201" s="400"/>
      <c r="O201" s="400"/>
      <c r="P201" s="400"/>
      <c r="Q201" s="400"/>
      <c r="R201" s="400"/>
      <c r="T201" s="402"/>
    </row>
    <row r="202" spans="1:20" s="328" customFormat="1" ht="20.25" customHeight="1">
      <c r="A202" s="54" t="s">
        <v>56</v>
      </c>
      <c r="B202" s="50" t="s">
        <v>146</v>
      </c>
      <c r="C202" s="391" t="s">
        <v>103</v>
      </c>
      <c r="D202" s="392" t="s">
        <v>26</v>
      </c>
      <c r="E202" s="393">
        <f>SUM(D203:D204)</f>
        <v>393.09999999999997</v>
      </c>
      <c r="F202" s="393">
        <v>0</v>
      </c>
      <c r="G202" s="41">
        <f t="shared" si="23"/>
        <v>0</v>
      </c>
      <c r="H202" s="394">
        <v>0</v>
      </c>
      <c r="I202" s="379">
        <f t="shared" si="22"/>
        <v>0</v>
      </c>
      <c r="J202" s="394"/>
      <c r="K202" s="394"/>
      <c r="L202" s="327"/>
      <c r="M202" s="327"/>
      <c r="N202" s="327"/>
      <c r="O202" s="327"/>
      <c r="P202" s="327"/>
      <c r="Q202" s="327"/>
      <c r="R202" s="327"/>
      <c r="T202" s="329"/>
    </row>
    <row r="203" spans="1:20" s="401" customFormat="1" ht="21.75" customHeight="1">
      <c r="A203" s="354"/>
      <c r="B203" s="355"/>
      <c r="C203" s="395" t="s">
        <v>373</v>
      </c>
      <c r="D203" s="396">
        <f>8.1+7.3+34.9+10.7+29.1+4.7+33.9+14+16.1+20.9</f>
        <v>179.7</v>
      </c>
      <c r="E203" s="397"/>
      <c r="F203" s="396"/>
      <c r="G203" s="398"/>
      <c r="H203" s="399"/>
      <c r="I203" s="379"/>
      <c r="J203" s="399"/>
      <c r="K203" s="399"/>
      <c r="L203" s="400"/>
      <c r="M203" s="400"/>
      <c r="N203" s="400"/>
      <c r="O203" s="400"/>
      <c r="P203" s="400"/>
      <c r="Q203" s="400"/>
      <c r="R203" s="400"/>
      <c r="T203" s="402"/>
    </row>
    <row r="204" spans="1:20" s="401" customFormat="1" ht="21.75" customHeight="1">
      <c r="A204" s="354"/>
      <c r="B204" s="355"/>
      <c r="C204" s="395" t="s">
        <v>374</v>
      </c>
      <c r="D204" s="396">
        <f>13.5+30+21.8+25.8+17.8+15+21.7+21.2+46.6</f>
        <v>213.39999999999998</v>
      </c>
      <c r="E204" s="397"/>
      <c r="F204" s="396"/>
      <c r="G204" s="398"/>
      <c r="H204" s="399"/>
      <c r="I204" s="379"/>
      <c r="J204" s="399"/>
      <c r="K204" s="399"/>
      <c r="L204" s="400"/>
      <c r="M204" s="400"/>
      <c r="N204" s="400"/>
      <c r="O204" s="400"/>
      <c r="P204" s="400"/>
      <c r="Q204" s="400"/>
      <c r="R204" s="400"/>
      <c r="T204" s="402"/>
    </row>
    <row r="205" spans="1:20" s="328" customFormat="1" ht="15.75" customHeight="1">
      <c r="A205" s="54" t="s">
        <v>57</v>
      </c>
      <c r="B205" s="50" t="s">
        <v>147</v>
      </c>
      <c r="C205" s="391" t="s">
        <v>104</v>
      </c>
      <c r="D205" s="392" t="s">
        <v>33</v>
      </c>
      <c r="E205" s="393">
        <f>I205+I191+I176+I149+I141+I121+I106+I100</f>
        <v>18.03575898</v>
      </c>
      <c r="F205" s="393">
        <v>0</v>
      </c>
      <c r="G205" s="41">
        <f t="shared" si="23"/>
        <v>0</v>
      </c>
      <c r="H205" s="394">
        <v>0</v>
      </c>
      <c r="I205" s="671">
        <f>SUM(I194:I203)</f>
        <v>5.07869</v>
      </c>
      <c r="J205" s="394"/>
      <c r="K205" s="394"/>
      <c r="L205" s="327"/>
      <c r="M205" s="327"/>
      <c r="N205" s="327"/>
      <c r="O205" s="327"/>
      <c r="P205" s="327"/>
      <c r="Q205" s="327"/>
      <c r="R205" s="327"/>
      <c r="T205" s="329"/>
    </row>
    <row r="206" spans="1:20" s="328" customFormat="1" ht="12" customHeight="1" thickBot="1">
      <c r="A206" s="342"/>
      <c r="B206" s="403"/>
      <c r="C206" s="344"/>
      <c r="D206" s="345"/>
      <c r="E206" s="404"/>
      <c r="F206" s="365"/>
      <c r="G206" s="346"/>
      <c r="H206" s="351"/>
      <c r="I206" s="351"/>
      <c r="J206" s="351"/>
      <c r="K206" s="351"/>
      <c r="L206" s="327"/>
      <c r="M206" s="327"/>
      <c r="N206" s="327"/>
      <c r="O206" s="327"/>
      <c r="P206" s="327"/>
      <c r="Q206" s="327"/>
      <c r="R206" s="327"/>
      <c r="T206" s="329"/>
    </row>
    <row r="207" spans="1:20" s="156" customFormat="1" ht="16.5" customHeight="1" thickBot="1">
      <c r="A207" s="405"/>
      <c r="B207" s="406"/>
      <c r="C207" s="311" t="s">
        <v>34</v>
      </c>
      <c r="D207" s="312"/>
      <c r="E207" s="407"/>
      <c r="F207" s="314"/>
      <c r="G207" s="131">
        <f>SUBTOTAL(9,G194:G206)</f>
        <v>0</v>
      </c>
      <c r="H207" s="169"/>
      <c r="I207" s="169"/>
      <c r="J207" s="169"/>
      <c r="K207" s="169"/>
      <c r="L207" s="155"/>
      <c r="M207" s="155"/>
      <c r="N207" s="155"/>
      <c r="O207" s="155"/>
      <c r="P207" s="155"/>
      <c r="Q207" s="155"/>
      <c r="R207" s="155"/>
      <c r="T207" s="157"/>
    </row>
    <row r="208" spans="1:20" s="156" customFormat="1" ht="13.7" customHeight="1" thickBot="1">
      <c r="A208" s="408"/>
      <c r="B208" s="348"/>
      <c r="C208" s="318"/>
      <c r="D208" s="318"/>
      <c r="E208" s="409"/>
      <c r="F208" s="270"/>
      <c r="G208" s="271"/>
      <c r="H208" s="169"/>
      <c r="I208" s="169"/>
      <c r="J208" s="169"/>
      <c r="K208" s="169"/>
      <c r="L208" s="155"/>
      <c r="M208" s="155"/>
      <c r="N208" s="155"/>
      <c r="O208" s="155"/>
      <c r="P208" s="155"/>
      <c r="Q208" s="155"/>
      <c r="R208" s="155"/>
      <c r="T208" s="157"/>
    </row>
    <row r="209" spans="1:20" s="280" customFormat="1" ht="16.5" customHeight="1" thickBot="1">
      <c r="A209" s="272" t="s">
        <v>59</v>
      </c>
      <c r="B209" s="273" t="s">
        <v>66</v>
      </c>
      <c r="C209" s="274" t="s">
        <v>67</v>
      </c>
      <c r="D209" s="275"/>
      <c r="E209" s="276"/>
      <c r="F209" s="277"/>
      <c r="G209" s="278"/>
      <c r="H209" s="262"/>
      <c r="I209" s="262"/>
      <c r="J209" s="262"/>
      <c r="K209" s="262"/>
      <c r="L209" s="279"/>
      <c r="M209" s="279"/>
      <c r="N209" s="279"/>
      <c r="O209" s="279"/>
      <c r="P209" s="279"/>
      <c r="Q209" s="279"/>
      <c r="R209" s="279"/>
      <c r="T209" s="281"/>
    </row>
    <row r="210" spans="1:20" s="156" customFormat="1" ht="12" customHeight="1">
      <c r="A210" s="386"/>
      <c r="B210" s="387"/>
      <c r="C210" s="388"/>
      <c r="D210" s="389"/>
      <c r="E210" s="390"/>
      <c r="F210" s="287"/>
      <c r="G210" s="288"/>
      <c r="H210" s="169"/>
      <c r="I210" s="169"/>
      <c r="J210" s="169"/>
      <c r="K210" s="169"/>
      <c r="L210" s="155"/>
      <c r="M210" s="155"/>
      <c r="N210" s="155"/>
      <c r="O210" s="155"/>
      <c r="P210" s="155"/>
      <c r="Q210" s="155"/>
      <c r="R210" s="155"/>
      <c r="T210" s="157"/>
    </row>
    <row r="211" spans="1:20" s="328" customFormat="1" ht="19.5" customHeight="1">
      <c r="A211" s="689"/>
      <c r="B211" s="688" t="s">
        <v>39</v>
      </c>
      <c r="C211" s="703" t="s">
        <v>207</v>
      </c>
      <c r="D211" s="704"/>
      <c r="E211" s="705"/>
      <c r="F211" s="706"/>
      <c r="G211" s="707"/>
      <c r="H211" s="351"/>
      <c r="I211" s="351"/>
      <c r="J211" s="351"/>
      <c r="K211" s="351"/>
      <c r="L211" s="327"/>
      <c r="M211" s="327"/>
      <c r="N211" s="327"/>
      <c r="O211" s="327"/>
      <c r="P211" s="327"/>
      <c r="Q211" s="327"/>
      <c r="R211" s="327"/>
      <c r="T211" s="329"/>
    </row>
    <row r="212" spans="1:20" s="551" customFormat="1" ht="24" customHeight="1">
      <c r="A212" s="689"/>
      <c r="B212" s="688"/>
      <c r="C212" s="708" t="s">
        <v>211</v>
      </c>
      <c r="D212" s="709"/>
      <c r="E212" s="710"/>
      <c r="F212" s="711"/>
      <c r="G212" s="712"/>
      <c r="H212" s="352"/>
      <c r="I212" s="352"/>
      <c r="J212" s="352"/>
      <c r="K212" s="352"/>
      <c r="L212" s="713"/>
      <c r="M212" s="713"/>
      <c r="N212" s="713"/>
      <c r="O212" s="713"/>
      <c r="P212" s="713"/>
      <c r="Q212" s="713"/>
      <c r="R212" s="713"/>
      <c r="T212" s="552"/>
    </row>
    <row r="213" spans="1:20" s="334" customFormat="1" ht="46.5" customHeight="1">
      <c r="A213" s="330" t="s">
        <v>60</v>
      </c>
      <c r="B213" s="298"/>
      <c r="C213" s="51" t="s">
        <v>204</v>
      </c>
      <c r="D213" s="332" t="s">
        <v>29</v>
      </c>
      <c r="E213" s="415">
        <v>2</v>
      </c>
      <c r="F213" s="299">
        <v>0</v>
      </c>
      <c r="G213" s="41">
        <f aca="true" t="shared" si="24" ref="G213:G229">$E213*F213</f>
        <v>0</v>
      </c>
      <c r="H213" s="301"/>
      <c r="I213" s="301"/>
      <c r="J213" s="301"/>
      <c r="K213" s="301"/>
      <c r="L213" s="333"/>
      <c r="M213" s="333"/>
      <c r="N213" s="333"/>
      <c r="O213" s="333"/>
      <c r="P213" s="333"/>
      <c r="Q213" s="333"/>
      <c r="R213" s="333"/>
      <c r="T213" s="335"/>
    </row>
    <row r="214" spans="1:20" s="296" customFormat="1" ht="18.75" customHeight="1">
      <c r="A214" s="290"/>
      <c r="B214" s="291"/>
      <c r="C214" s="356"/>
      <c r="D214" s="714"/>
      <c r="E214" s="416"/>
      <c r="F214" s="292"/>
      <c r="G214" s="398"/>
      <c r="H214" s="294"/>
      <c r="I214" s="294"/>
      <c r="J214" s="294"/>
      <c r="K214" s="294"/>
      <c r="L214" s="295"/>
      <c r="M214" s="295"/>
      <c r="N214" s="295"/>
      <c r="O214" s="295"/>
      <c r="P214" s="295"/>
      <c r="Q214" s="295"/>
      <c r="R214" s="295"/>
      <c r="T214" s="297"/>
    </row>
    <row r="215" spans="1:20" s="334" customFormat="1" ht="38.25" customHeight="1">
      <c r="A215" s="330" t="s">
        <v>401</v>
      </c>
      <c r="B215" s="298"/>
      <c r="C215" s="51" t="s">
        <v>205</v>
      </c>
      <c r="D215" s="332" t="s">
        <v>29</v>
      </c>
      <c r="E215" s="415">
        <v>3</v>
      </c>
      <c r="F215" s="299">
        <v>0</v>
      </c>
      <c r="G215" s="41">
        <f aca="true" t="shared" si="25" ref="G215">$E215*F215</f>
        <v>0</v>
      </c>
      <c r="H215" s="301"/>
      <c r="I215" s="301"/>
      <c r="J215" s="301"/>
      <c r="K215" s="301"/>
      <c r="L215" s="333"/>
      <c r="M215" s="333"/>
      <c r="N215" s="333"/>
      <c r="O215" s="333"/>
      <c r="P215" s="333"/>
      <c r="Q215" s="333"/>
      <c r="R215" s="333"/>
      <c r="T215" s="335"/>
    </row>
    <row r="216" spans="1:20" s="296" customFormat="1" ht="18.75" customHeight="1">
      <c r="A216" s="290"/>
      <c r="B216" s="291"/>
      <c r="C216" s="356"/>
      <c r="D216" s="416"/>
      <c r="E216" s="337"/>
      <c r="F216" s="292"/>
      <c r="G216" s="398"/>
      <c r="H216" s="294"/>
      <c r="I216" s="294"/>
      <c r="J216" s="294"/>
      <c r="K216" s="294"/>
      <c r="L216" s="295"/>
      <c r="M216" s="295"/>
      <c r="N216" s="295"/>
      <c r="O216" s="295"/>
      <c r="P216" s="295"/>
      <c r="Q216" s="295"/>
      <c r="R216" s="295"/>
      <c r="T216" s="297"/>
    </row>
    <row r="217" spans="1:20" s="334" customFormat="1" ht="47.25" customHeight="1">
      <c r="A217" s="330" t="s">
        <v>402</v>
      </c>
      <c r="B217" s="298"/>
      <c r="C217" s="51" t="s">
        <v>206</v>
      </c>
      <c r="D217" s="332" t="s">
        <v>29</v>
      </c>
      <c r="E217" s="415">
        <v>1</v>
      </c>
      <c r="F217" s="299">
        <v>0</v>
      </c>
      <c r="G217" s="41">
        <f aca="true" t="shared" si="26" ref="G217">$E217*F217</f>
        <v>0</v>
      </c>
      <c r="H217" s="301"/>
      <c r="I217" s="301"/>
      <c r="J217" s="301"/>
      <c r="K217" s="301"/>
      <c r="L217" s="333"/>
      <c r="M217" s="333"/>
      <c r="N217" s="333"/>
      <c r="O217" s="333"/>
      <c r="P217" s="333"/>
      <c r="Q217" s="333"/>
      <c r="R217" s="333"/>
      <c r="T217" s="335"/>
    </row>
    <row r="218" spans="1:20" s="296" customFormat="1" ht="18.75" customHeight="1">
      <c r="A218" s="290"/>
      <c r="B218" s="291"/>
      <c r="C218" s="356"/>
      <c r="D218" s="416"/>
      <c r="E218" s="337"/>
      <c r="F218" s="292"/>
      <c r="G218" s="398"/>
      <c r="H218" s="294"/>
      <c r="I218" s="294"/>
      <c r="J218" s="294"/>
      <c r="K218" s="294"/>
      <c r="L218" s="295"/>
      <c r="M218" s="295"/>
      <c r="N218" s="295"/>
      <c r="O218" s="295"/>
      <c r="P218" s="295"/>
      <c r="Q218" s="295"/>
      <c r="R218" s="295"/>
      <c r="T218" s="297"/>
    </row>
    <row r="219" spans="1:20" s="334" customFormat="1" ht="47.25" customHeight="1">
      <c r="A219" s="330" t="s">
        <v>62</v>
      </c>
      <c r="B219" s="298"/>
      <c r="C219" s="51" t="s">
        <v>297</v>
      </c>
      <c r="D219" s="332" t="s">
        <v>29</v>
      </c>
      <c r="E219" s="415">
        <v>2</v>
      </c>
      <c r="F219" s="299">
        <v>0</v>
      </c>
      <c r="G219" s="41">
        <f aca="true" t="shared" si="27" ref="G219">$E219*F219</f>
        <v>0</v>
      </c>
      <c r="H219" s="301"/>
      <c r="I219" s="301"/>
      <c r="J219" s="301"/>
      <c r="K219" s="301"/>
      <c r="L219" s="333"/>
      <c r="M219" s="333"/>
      <c r="N219" s="333"/>
      <c r="O219" s="333"/>
      <c r="P219" s="333"/>
      <c r="Q219" s="333"/>
      <c r="R219" s="333"/>
      <c r="T219" s="335"/>
    </row>
    <row r="220" spans="1:20" s="296" customFormat="1" ht="18.75" customHeight="1">
      <c r="A220" s="290"/>
      <c r="B220" s="291"/>
      <c r="C220" s="356"/>
      <c r="D220" s="416"/>
      <c r="E220" s="337"/>
      <c r="F220" s="292"/>
      <c r="G220" s="398"/>
      <c r="H220" s="294"/>
      <c r="I220" s="294"/>
      <c r="J220" s="294"/>
      <c r="K220" s="294"/>
      <c r="L220" s="295"/>
      <c r="M220" s="295"/>
      <c r="N220" s="295"/>
      <c r="O220" s="295"/>
      <c r="P220" s="295"/>
      <c r="Q220" s="295"/>
      <c r="R220" s="295"/>
      <c r="T220" s="297"/>
    </row>
    <row r="221" spans="1:20" s="334" customFormat="1" ht="47.25" customHeight="1">
      <c r="A221" s="330" t="s">
        <v>63</v>
      </c>
      <c r="B221" s="298"/>
      <c r="C221" s="51" t="s">
        <v>208</v>
      </c>
      <c r="D221" s="332" t="s">
        <v>29</v>
      </c>
      <c r="E221" s="415">
        <v>8</v>
      </c>
      <c r="F221" s="299">
        <v>0</v>
      </c>
      <c r="G221" s="41">
        <f aca="true" t="shared" si="28" ref="G221">$E221*F221</f>
        <v>0</v>
      </c>
      <c r="H221" s="301"/>
      <c r="I221" s="301"/>
      <c r="J221" s="301"/>
      <c r="K221" s="301"/>
      <c r="L221" s="333"/>
      <c r="M221" s="333"/>
      <c r="N221" s="333"/>
      <c r="O221" s="333"/>
      <c r="P221" s="333"/>
      <c r="Q221" s="333"/>
      <c r="R221" s="333"/>
      <c r="T221" s="335"/>
    </row>
    <row r="222" spans="1:20" s="296" customFormat="1" ht="18.75" customHeight="1">
      <c r="A222" s="290"/>
      <c r="B222" s="291"/>
      <c r="C222" s="356"/>
      <c r="D222" s="416"/>
      <c r="E222" s="337"/>
      <c r="F222" s="292"/>
      <c r="G222" s="398"/>
      <c r="H222" s="294"/>
      <c r="I222" s="294"/>
      <c r="J222" s="294"/>
      <c r="K222" s="294"/>
      <c r="L222" s="295"/>
      <c r="M222" s="295"/>
      <c r="N222" s="295"/>
      <c r="O222" s="295"/>
      <c r="P222" s="295"/>
      <c r="Q222" s="295"/>
      <c r="R222" s="295"/>
      <c r="T222" s="297"/>
    </row>
    <row r="223" spans="1:20" s="334" customFormat="1" ht="36" customHeight="1">
      <c r="A223" s="330" t="s">
        <v>403</v>
      </c>
      <c r="B223" s="298" t="s">
        <v>310</v>
      </c>
      <c r="C223" s="51" t="s">
        <v>209</v>
      </c>
      <c r="D223" s="332" t="s">
        <v>31</v>
      </c>
      <c r="E223" s="415">
        <v>8.2</v>
      </c>
      <c r="F223" s="299">
        <v>0</v>
      </c>
      <c r="G223" s="41">
        <f aca="true" t="shared" si="29" ref="G223:G224">$E223*F223</f>
        <v>0</v>
      </c>
      <c r="H223" s="301"/>
      <c r="I223" s="301"/>
      <c r="J223" s="301"/>
      <c r="K223" s="301"/>
      <c r="L223" s="333"/>
      <c r="M223" s="333"/>
      <c r="N223" s="333"/>
      <c r="O223" s="333"/>
      <c r="P223" s="333"/>
      <c r="Q223" s="333"/>
      <c r="R223" s="333"/>
      <c r="T223" s="335"/>
    </row>
    <row r="224" spans="1:20" s="334" customFormat="1" ht="25.5" customHeight="1">
      <c r="A224" s="330" t="s">
        <v>404</v>
      </c>
      <c r="B224" s="298" t="s">
        <v>311</v>
      </c>
      <c r="C224" s="51" t="s">
        <v>312</v>
      </c>
      <c r="D224" s="332" t="s">
        <v>304</v>
      </c>
      <c r="E224" s="415">
        <v>2</v>
      </c>
      <c r="F224" s="299">
        <v>0</v>
      </c>
      <c r="G224" s="41">
        <f t="shared" si="29"/>
        <v>0</v>
      </c>
      <c r="H224" s="301"/>
      <c r="I224" s="301"/>
      <c r="J224" s="301"/>
      <c r="K224" s="301"/>
      <c r="L224" s="333"/>
      <c r="M224" s="333"/>
      <c r="N224" s="333"/>
      <c r="O224" s="333"/>
      <c r="P224" s="333"/>
      <c r="Q224" s="333"/>
      <c r="R224" s="333"/>
      <c r="T224" s="335"/>
    </row>
    <row r="225" spans="1:20" s="334" customFormat="1" ht="36" customHeight="1">
      <c r="A225" s="330" t="s">
        <v>405</v>
      </c>
      <c r="B225" s="298" t="s">
        <v>313</v>
      </c>
      <c r="C225" s="51" t="s">
        <v>210</v>
      </c>
      <c r="D225" s="332" t="s">
        <v>31</v>
      </c>
      <c r="E225" s="415">
        <v>10.6</v>
      </c>
      <c r="F225" s="299">
        <v>0</v>
      </c>
      <c r="G225" s="41">
        <f aca="true" t="shared" si="30" ref="G225">$E225*F225</f>
        <v>0</v>
      </c>
      <c r="H225" s="301"/>
      <c r="I225" s="301"/>
      <c r="J225" s="301"/>
      <c r="K225" s="301"/>
      <c r="L225" s="333"/>
      <c r="M225" s="333"/>
      <c r="N225" s="333"/>
      <c r="O225" s="333"/>
      <c r="P225" s="333"/>
      <c r="Q225" s="333"/>
      <c r="R225" s="333"/>
      <c r="T225" s="335"/>
    </row>
    <row r="226" spans="1:20" s="296" customFormat="1" ht="18.75" customHeight="1">
      <c r="A226" s="290"/>
      <c r="B226" s="291"/>
      <c r="C226" s="356"/>
      <c r="D226" s="416"/>
      <c r="E226" s="337"/>
      <c r="F226" s="292"/>
      <c r="G226" s="398"/>
      <c r="H226" s="294"/>
      <c r="I226" s="294"/>
      <c r="J226" s="294"/>
      <c r="K226" s="294"/>
      <c r="L226" s="295"/>
      <c r="M226" s="295"/>
      <c r="N226" s="295"/>
      <c r="O226" s="295"/>
      <c r="P226" s="295"/>
      <c r="Q226" s="295"/>
      <c r="R226" s="295"/>
      <c r="T226" s="297"/>
    </row>
    <row r="227" spans="1:20" s="334" customFormat="1" ht="47.25" customHeight="1">
      <c r="A227" s="330" t="s">
        <v>406</v>
      </c>
      <c r="B227" s="298" t="s">
        <v>314</v>
      </c>
      <c r="C227" s="51" t="s">
        <v>247</v>
      </c>
      <c r="D227" s="332" t="s">
        <v>29</v>
      </c>
      <c r="E227" s="415">
        <v>2</v>
      </c>
      <c r="F227" s="299">
        <v>0</v>
      </c>
      <c r="G227" s="41">
        <f aca="true" t="shared" si="31" ref="G227">$E227*F227</f>
        <v>0</v>
      </c>
      <c r="H227" s="301"/>
      <c r="I227" s="301"/>
      <c r="J227" s="301"/>
      <c r="K227" s="301"/>
      <c r="L227" s="333"/>
      <c r="M227" s="333"/>
      <c r="N227" s="333"/>
      <c r="O227" s="333"/>
      <c r="P227" s="333"/>
      <c r="Q227" s="333"/>
      <c r="R227" s="333"/>
      <c r="T227" s="335"/>
    </row>
    <row r="228" spans="1:20" s="334" customFormat="1" ht="18.75" customHeight="1">
      <c r="A228" s="290"/>
      <c r="B228" s="298"/>
      <c r="C228" s="51"/>
      <c r="D228" s="332"/>
      <c r="E228" s="415"/>
      <c r="F228" s="299"/>
      <c r="G228" s="41"/>
      <c r="H228" s="301"/>
      <c r="I228" s="301"/>
      <c r="J228" s="301"/>
      <c r="K228" s="301"/>
      <c r="L228" s="333"/>
      <c r="M228" s="333"/>
      <c r="N228" s="333"/>
      <c r="O228" s="333"/>
      <c r="P228" s="333"/>
      <c r="Q228" s="333"/>
      <c r="R228" s="333"/>
      <c r="T228" s="335"/>
    </row>
    <row r="229" spans="1:20" s="334" customFormat="1" ht="18.75" customHeight="1">
      <c r="A229" s="330" t="s">
        <v>407</v>
      </c>
      <c r="B229" s="298"/>
      <c r="C229" s="51" t="s">
        <v>70</v>
      </c>
      <c r="D229" s="332" t="s">
        <v>58</v>
      </c>
      <c r="E229" s="415">
        <f>SUM(G210:G228)*0.01</f>
        <v>0</v>
      </c>
      <c r="F229" s="299">
        <v>0</v>
      </c>
      <c r="G229" s="41">
        <f t="shared" si="24"/>
        <v>0</v>
      </c>
      <c r="H229" s="301"/>
      <c r="I229" s="301"/>
      <c r="J229" s="301"/>
      <c r="K229" s="301"/>
      <c r="L229" s="333"/>
      <c r="M229" s="333"/>
      <c r="N229" s="333"/>
      <c r="O229" s="333"/>
      <c r="P229" s="333"/>
      <c r="Q229" s="333"/>
      <c r="R229" s="333"/>
      <c r="T229" s="335"/>
    </row>
    <row r="230" spans="1:20" s="156" customFormat="1" ht="12" customHeight="1" thickBot="1">
      <c r="A230" s="250"/>
      <c r="B230" s="410"/>
      <c r="C230" s="306"/>
      <c r="D230" s="307"/>
      <c r="E230" s="411"/>
      <c r="F230" s="254"/>
      <c r="G230" s="255"/>
      <c r="H230" s="169"/>
      <c r="I230" s="169"/>
      <c r="J230" s="169"/>
      <c r="K230" s="169"/>
      <c r="L230" s="155"/>
      <c r="M230" s="155"/>
      <c r="N230" s="155"/>
      <c r="O230" s="155"/>
      <c r="P230" s="155"/>
      <c r="Q230" s="155"/>
      <c r="R230" s="155"/>
      <c r="T230" s="157"/>
    </row>
    <row r="231" spans="1:20" s="156" customFormat="1" ht="16.5" customHeight="1" thickBot="1">
      <c r="A231" s="405"/>
      <c r="B231" s="406"/>
      <c r="C231" s="311" t="s">
        <v>34</v>
      </c>
      <c r="D231" s="312"/>
      <c r="E231" s="407"/>
      <c r="F231" s="314"/>
      <c r="G231" s="131">
        <f>SUBTOTAL(9,G210:G230)</f>
        <v>0</v>
      </c>
      <c r="H231" s="169"/>
      <c r="I231" s="169"/>
      <c r="J231" s="169"/>
      <c r="K231" s="169"/>
      <c r="L231" s="155"/>
      <c r="M231" s="155"/>
      <c r="N231" s="155"/>
      <c r="O231" s="155"/>
      <c r="P231" s="155"/>
      <c r="Q231" s="155"/>
      <c r="R231" s="155"/>
      <c r="T231" s="157"/>
    </row>
    <row r="232" spans="1:20" s="156" customFormat="1" ht="13.7" customHeight="1" thickBot="1">
      <c r="A232" s="408"/>
      <c r="B232" s="348"/>
      <c r="C232" s="318"/>
      <c r="D232" s="318"/>
      <c r="E232" s="409"/>
      <c r="F232" s="270"/>
      <c r="G232" s="271"/>
      <c r="H232" s="169"/>
      <c r="I232" s="169"/>
      <c r="J232" s="169"/>
      <c r="K232" s="169"/>
      <c r="L232" s="155"/>
      <c r="M232" s="155"/>
      <c r="N232" s="155"/>
      <c r="O232" s="155"/>
      <c r="P232" s="155"/>
      <c r="Q232" s="155"/>
      <c r="R232" s="155"/>
      <c r="T232" s="157"/>
    </row>
    <row r="233" spans="1:20" s="280" customFormat="1" ht="16.5" customHeight="1" thickBot="1">
      <c r="A233" s="272" t="s">
        <v>64</v>
      </c>
      <c r="B233" s="273" t="s">
        <v>106</v>
      </c>
      <c r="C233" s="274" t="s">
        <v>107</v>
      </c>
      <c r="D233" s="275"/>
      <c r="E233" s="276"/>
      <c r="F233" s="277"/>
      <c r="G233" s="278"/>
      <c r="H233" s="262"/>
      <c r="I233" s="262"/>
      <c r="J233" s="262"/>
      <c r="K233" s="262"/>
      <c r="L233" s="279"/>
      <c r="M233" s="279"/>
      <c r="N233" s="279"/>
      <c r="O233" s="279"/>
      <c r="P233" s="279"/>
      <c r="Q233" s="279"/>
      <c r="R233" s="279"/>
      <c r="T233" s="281"/>
    </row>
    <row r="234" spans="1:20" s="328" customFormat="1" ht="12" customHeight="1">
      <c r="A234" s="692"/>
      <c r="B234" s="693"/>
      <c r="C234" s="694"/>
      <c r="D234" s="695"/>
      <c r="E234" s="696"/>
      <c r="F234" s="697"/>
      <c r="G234" s="698"/>
      <c r="H234" s="351"/>
      <c r="I234" s="351"/>
      <c r="J234" s="351"/>
      <c r="K234" s="351"/>
      <c r="L234" s="327"/>
      <c r="M234" s="327"/>
      <c r="N234" s="327"/>
      <c r="O234" s="327"/>
      <c r="P234" s="327"/>
      <c r="Q234" s="327"/>
      <c r="R234" s="327"/>
      <c r="T234" s="329"/>
    </row>
    <row r="235" spans="1:20" s="669" customFormat="1" ht="18.75" customHeight="1">
      <c r="A235" s="467" t="s">
        <v>78</v>
      </c>
      <c r="B235" s="661"/>
      <c r="C235" s="662" t="s">
        <v>315</v>
      </c>
      <c r="D235" s="663"/>
      <c r="E235" s="664">
        <f>SUM(E236:E238)</f>
        <v>462.21000000000004</v>
      </c>
      <c r="F235" s="665"/>
      <c r="G235" s="666"/>
      <c r="H235" s="667"/>
      <c r="I235" s="690"/>
      <c r="J235" s="48"/>
      <c r="K235" s="646"/>
      <c r="L235" s="49"/>
      <c r="M235" s="38"/>
      <c r="N235" s="38"/>
      <c r="O235" s="38"/>
      <c r="P235" s="38"/>
      <c r="Q235" s="668"/>
      <c r="R235" s="668"/>
      <c r="T235" s="670"/>
    </row>
    <row r="236" spans="1:20" s="328" customFormat="1" ht="18.75" customHeight="1">
      <c r="A236" s="374" t="s">
        <v>408</v>
      </c>
      <c r="B236" s="420"/>
      <c r="C236" s="421" t="s">
        <v>170</v>
      </c>
      <c r="D236" s="422" t="s">
        <v>169</v>
      </c>
      <c r="E236" s="423">
        <v>137.23</v>
      </c>
      <c r="F236" s="424">
        <v>0</v>
      </c>
      <c r="G236" s="41">
        <f aca="true" t="shared" si="32" ref="G236:G250">$E236*F236</f>
        <v>0</v>
      </c>
      <c r="H236" s="351"/>
      <c r="I236" s="699"/>
      <c r="J236" s="48"/>
      <c r="K236" s="646"/>
      <c r="L236" s="49"/>
      <c r="M236" s="38"/>
      <c r="N236" s="38"/>
      <c r="O236" s="38"/>
      <c r="P236" s="38"/>
      <c r="Q236" s="327"/>
      <c r="R236" s="327"/>
      <c r="T236" s="329"/>
    </row>
    <row r="237" spans="1:20" s="328" customFormat="1" ht="18.75" customHeight="1">
      <c r="A237" s="374" t="s">
        <v>409</v>
      </c>
      <c r="B237" s="420"/>
      <c r="C237" s="421" t="s">
        <v>171</v>
      </c>
      <c r="D237" s="422" t="s">
        <v>169</v>
      </c>
      <c r="E237" s="423">
        <v>101.87</v>
      </c>
      <c r="F237" s="424">
        <v>0</v>
      </c>
      <c r="G237" s="41">
        <f t="shared" si="32"/>
        <v>0</v>
      </c>
      <c r="H237" s="351"/>
      <c r="I237" s="700"/>
      <c r="J237" s="48"/>
      <c r="K237" s="646"/>
      <c r="L237" s="49"/>
      <c r="M237" s="38"/>
      <c r="N237" s="38"/>
      <c r="O237" s="38"/>
      <c r="P237" s="38"/>
      <c r="Q237" s="327"/>
      <c r="R237" s="327"/>
      <c r="T237" s="329"/>
    </row>
    <row r="238" spans="1:20" s="328" customFormat="1" ht="18.75" customHeight="1">
      <c r="A238" s="374" t="s">
        <v>410</v>
      </c>
      <c r="B238" s="420"/>
      <c r="C238" s="421" t="s">
        <v>172</v>
      </c>
      <c r="D238" s="422" t="s">
        <v>169</v>
      </c>
      <c r="E238" s="423">
        <v>223.11</v>
      </c>
      <c r="F238" s="424">
        <v>0</v>
      </c>
      <c r="G238" s="41">
        <f t="shared" si="32"/>
        <v>0</v>
      </c>
      <c r="H238" s="351"/>
      <c r="I238" s="701"/>
      <c r="J238" s="48"/>
      <c r="K238" s="646"/>
      <c r="L238" s="49"/>
      <c r="M238" s="38"/>
      <c r="N238" s="38"/>
      <c r="O238" s="38"/>
      <c r="P238" s="38"/>
      <c r="Q238" s="327"/>
      <c r="R238" s="327"/>
      <c r="T238" s="329"/>
    </row>
    <row r="239" spans="1:20" s="328" customFormat="1" ht="18.75" customHeight="1">
      <c r="A239" s="374"/>
      <c r="B239" s="420"/>
      <c r="C239" s="421"/>
      <c r="D239" s="422"/>
      <c r="E239" s="423"/>
      <c r="F239" s="424"/>
      <c r="G239" s="41"/>
      <c r="H239" s="351"/>
      <c r="I239" s="701"/>
      <c r="J239" s="48"/>
      <c r="K239" s="646"/>
      <c r="L239" s="49"/>
      <c r="M239" s="38"/>
      <c r="N239" s="38"/>
      <c r="O239" s="38"/>
      <c r="P239" s="38"/>
      <c r="Q239" s="327"/>
      <c r="R239" s="327"/>
      <c r="T239" s="329"/>
    </row>
    <row r="240" spans="1:20" s="328" customFormat="1" ht="33" customHeight="1">
      <c r="A240" s="374" t="s">
        <v>79</v>
      </c>
      <c r="B240" s="420" t="s">
        <v>355</v>
      </c>
      <c r="C240" s="421" t="s">
        <v>353</v>
      </c>
      <c r="D240" s="422" t="s">
        <v>26</v>
      </c>
      <c r="E240" s="423">
        <f>SUM(D241)</f>
        <v>12.209999999999999</v>
      </c>
      <c r="F240" s="424">
        <v>0</v>
      </c>
      <c r="G240" s="41">
        <f>$E240*F240</f>
        <v>0</v>
      </c>
      <c r="H240" s="351"/>
      <c r="I240" s="351"/>
      <c r="J240" s="351"/>
      <c r="K240" s="351"/>
      <c r="L240" s="327"/>
      <c r="M240" s="327"/>
      <c r="N240" s="327"/>
      <c r="O240" s="327"/>
      <c r="P240" s="327"/>
      <c r="Q240" s="327"/>
      <c r="R240" s="327"/>
      <c r="T240" s="329"/>
    </row>
    <row r="241" spans="1:13" s="149" customFormat="1" ht="17.25" customHeight="1">
      <c r="A241" s="147"/>
      <c r="B241" s="412"/>
      <c r="C241" s="645" t="s">
        <v>354</v>
      </c>
      <c r="D241" s="641">
        <f>3.7*3.3</f>
        <v>12.209999999999999</v>
      </c>
      <c r="E241" s="642"/>
      <c r="F241" s="148"/>
      <c r="G241" s="643"/>
      <c r="H241" s="413"/>
      <c r="I241" s="413"/>
      <c r="J241" s="413"/>
      <c r="K241" s="413"/>
      <c r="L241" s="644"/>
      <c r="M241" s="644"/>
    </row>
    <row r="242" spans="1:20" s="328" customFormat="1" ht="16.5" customHeight="1">
      <c r="A242" s="374"/>
      <c r="B242" s="420"/>
      <c r="C242" s="421"/>
      <c r="D242" s="422"/>
      <c r="E242" s="423"/>
      <c r="F242" s="424"/>
      <c r="G242" s="41"/>
      <c r="H242" s="351"/>
      <c r="I242" s="702"/>
      <c r="J242" s="48"/>
      <c r="K242" s="646"/>
      <c r="L242" s="49"/>
      <c r="M242" s="38"/>
      <c r="N242" s="38"/>
      <c r="O242" s="38"/>
      <c r="P242" s="38"/>
      <c r="Q242" s="327"/>
      <c r="R242" s="327"/>
      <c r="T242" s="329"/>
    </row>
    <row r="243" spans="1:20" s="669" customFormat="1" ht="18.75" customHeight="1">
      <c r="A243" s="467" t="s">
        <v>411</v>
      </c>
      <c r="B243" s="661"/>
      <c r="C243" s="662" t="s">
        <v>316</v>
      </c>
      <c r="D243" s="663"/>
      <c r="E243" s="664">
        <f>SUM(E244:E248)</f>
        <v>54.94</v>
      </c>
      <c r="F243" s="665"/>
      <c r="G243" s="666"/>
      <c r="H243" s="667"/>
      <c r="I243" s="667"/>
      <c r="J243" s="667"/>
      <c r="K243" s="667"/>
      <c r="L243" s="668"/>
      <c r="M243" s="668"/>
      <c r="N243" s="668"/>
      <c r="O243" s="668"/>
      <c r="P243" s="668"/>
      <c r="Q243" s="668"/>
      <c r="R243" s="668"/>
      <c r="T243" s="670"/>
    </row>
    <row r="244" spans="1:20" s="328" customFormat="1" ht="18.75" customHeight="1">
      <c r="A244" s="374" t="s">
        <v>412</v>
      </c>
      <c r="B244" s="420"/>
      <c r="C244" s="421" t="s">
        <v>173</v>
      </c>
      <c r="D244" s="422" t="s">
        <v>169</v>
      </c>
      <c r="E244" s="423">
        <v>3.6</v>
      </c>
      <c r="F244" s="424">
        <v>0</v>
      </c>
      <c r="G244" s="41">
        <f aca="true" t="shared" si="33" ref="G244:G248">$E244*F244</f>
        <v>0</v>
      </c>
      <c r="H244" s="351"/>
      <c r="I244" s="351"/>
      <c r="J244" s="351"/>
      <c r="K244" s="351"/>
      <c r="L244" s="327"/>
      <c r="M244" s="327"/>
      <c r="N244" s="327"/>
      <c r="O244" s="327"/>
      <c r="P244" s="327"/>
      <c r="Q244" s="327"/>
      <c r="R244" s="327"/>
      <c r="T244" s="329"/>
    </row>
    <row r="245" spans="1:20" s="328" customFormat="1" ht="18.75" customHeight="1">
      <c r="A245" s="374" t="s">
        <v>413</v>
      </c>
      <c r="B245" s="420"/>
      <c r="C245" s="421" t="s">
        <v>174</v>
      </c>
      <c r="D245" s="422" t="s">
        <v>169</v>
      </c>
      <c r="E245" s="423">
        <v>17.99</v>
      </c>
      <c r="F245" s="424">
        <v>0</v>
      </c>
      <c r="G245" s="41">
        <f t="shared" si="33"/>
        <v>0</v>
      </c>
      <c r="H245" s="351"/>
      <c r="I245" s="351"/>
      <c r="J245" s="351"/>
      <c r="K245" s="351"/>
      <c r="L245" s="327"/>
      <c r="M245" s="327"/>
      <c r="N245" s="327"/>
      <c r="O245" s="327"/>
      <c r="P245" s="327"/>
      <c r="Q245" s="327"/>
      <c r="R245" s="327"/>
      <c r="T245" s="329"/>
    </row>
    <row r="246" spans="1:20" s="328" customFormat="1" ht="18.75" customHeight="1">
      <c r="A246" s="374" t="s">
        <v>414</v>
      </c>
      <c r="B246" s="420"/>
      <c r="C246" s="421" t="s">
        <v>175</v>
      </c>
      <c r="D246" s="422" t="s">
        <v>169</v>
      </c>
      <c r="E246" s="423">
        <v>3.46</v>
      </c>
      <c r="F246" s="424">
        <v>0</v>
      </c>
      <c r="G246" s="41">
        <f t="shared" si="33"/>
        <v>0</v>
      </c>
      <c r="H246" s="351"/>
      <c r="I246" s="351"/>
      <c r="J246" s="351"/>
      <c r="K246" s="351"/>
      <c r="L246" s="327"/>
      <c r="M246" s="327"/>
      <c r="N246" s="327"/>
      <c r="O246" s="327"/>
      <c r="P246" s="327"/>
      <c r="Q246" s="327"/>
      <c r="R246" s="327"/>
      <c r="T246" s="329"/>
    </row>
    <row r="247" spans="1:20" s="328" customFormat="1" ht="18.75" customHeight="1">
      <c r="A247" s="374" t="s">
        <v>415</v>
      </c>
      <c r="B247" s="420"/>
      <c r="C247" s="421" t="s">
        <v>176</v>
      </c>
      <c r="D247" s="422" t="s">
        <v>169</v>
      </c>
      <c r="E247" s="423">
        <v>3.6</v>
      </c>
      <c r="F247" s="424">
        <v>0</v>
      </c>
      <c r="G247" s="41">
        <f>$E247*F247</f>
        <v>0</v>
      </c>
      <c r="H247" s="351"/>
      <c r="I247" s="351"/>
      <c r="J247" s="351"/>
      <c r="K247" s="351"/>
      <c r="L247" s="327"/>
      <c r="M247" s="327"/>
      <c r="N247" s="327"/>
      <c r="O247" s="327"/>
      <c r="P247" s="327"/>
      <c r="Q247" s="327"/>
      <c r="R247" s="327"/>
      <c r="T247" s="329"/>
    </row>
    <row r="248" spans="1:20" s="328" customFormat="1" ht="18.75" customHeight="1">
      <c r="A248" s="374" t="s">
        <v>416</v>
      </c>
      <c r="B248" s="420"/>
      <c r="C248" s="421" t="s">
        <v>177</v>
      </c>
      <c r="D248" s="422" t="s">
        <v>169</v>
      </c>
      <c r="E248" s="423">
        <v>26.29</v>
      </c>
      <c r="F248" s="424">
        <v>0</v>
      </c>
      <c r="G248" s="41">
        <f t="shared" si="33"/>
        <v>0</v>
      </c>
      <c r="H248" s="351"/>
      <c r="I248" s="351"/>
      <c r="J248" s="351"/>
      <c r="K248" s="351"/>
      <c r="L248" s="327"/>
      <c r="M248" s="327"/>
      <c r="N248" s="327"/>
      <c r="O248" s="327"/>
      <c r="P248" s="327"/>
      <c r="Q248" s="327"/>
      <c r="R248" s="327"/>
      <c r="T248" s="329"/>
    </row>
    <row r="249" spans="1:20" s="328" customFormat="1" ht="18.75" customHeight="1">
      <c r="A249" s="374"/>
      <c r="B249" s="420"/>
      <c r="C249" s="421"/>
      <c r="D249" s="422"/>
      <c r="E249" s="423"/>
      <c r="F249" s="424"/>
      <c r="G249" s="41"/>
      <c r="H249" s="351"/>
      <c r="I249" s="351"/>
      <c r="J249" s="351"/>
      <c r="K249" s="351"/>
      <c r="L249" s="327"/>
      <c r="M249" s="327"/>
      <c r="N249" s="327"/>
      <c r="O249" s="327"/>
      <c r="P249" s="327"/>
      <c r="Q249" s="327"/>
      <c r="R249" s="327"/>
      <c r="T249" s="329"/>
    </row>
    <row r="250" spans="1:20" s="328" customFormat="1" ht="18.75" customHeight="1">
      <c r="A250" s="374" t="s">
        <v>417</v>
      </c>
      <c r="B250" s="420"/>
      <c r="C250" s="421" t="s">
        <v>317</v>
      </c>
      <c r="D250" s="422" t="s">
        <v>29</v>
      </c>
      <c r="E250" s="423">
        <v>1</v>
      </c>
      <c r="F250" s="424">
        <v>0</v>
      </c>
      <c r="G250" s="41">
        <f t="shared" si="32"/>
        <v>0</v>
      </c>
      <c r="H250" s="351"/>
      <c r="I250" s="351"/>
      <c r="J250" s="351"/>
      <c r="K250" s="351"/>
      <c r="L250" s="327"/>
      <c r="M250" s="327"/>
      <c r="N250" s="327"/>
      <c r="O250" s="327"/>
      <c r="P250" s="327"/>
      <c r="Q250" s="327"/>
      <c r="R250" s="327"/>
      <c r="T250" s="329"/>
    </row>
    <row r="251" spans="1:20" s="328" customFormat="1" ht="18.75" customHeight="1">
      <c r="A251" s="374" t="s">
        <v>105</v>
      </c>
      <c r="B251" s="420"/>
      <c r="C251" s="421" t="s">
        <v>333</v>
      </c>
      <c r="D251" s="422" t="s">
        <v>29</v>
      </c>
      <c r="E251" s="423">
        <v>1</v>
      </c>
      <c r="F251" s="424">
        <v>0</v>
      </c>
      <c r="G251" s="41">
        <f aca="true" t="shared" si="34" ref="G251">$E251*F251</f>
        <v>0</v>
      </c>
      <c r="H251" s="351"/>
      <c r="I251" s="351"/>
      <c r="J251" s="351"/>
      <c r="K251" s="351"/>
      <c r="L251" s="327"/>
      <c r="M251" s="327"/>
      <c r="N251" s="327"/>
      <c r="O251" s="327"/>
      <c r="P251" s="327"/>
      <c r="Q251" s="327"/>
      <c r="R251" s="327"/>
      <c r="T251" s="329"/>
    </row>
    <row r="252" spans="1:20" s="328" customFormat="1" ht="18.75" customHeight="1">
      <c r="A252" s="374"/>
      <c r="B252" s="420"/>
      <c r="C252" s="421"/>
      <c r="D252" s="422"/>
      <c r="E252" s="423"/>
      <c r="F252" s="424"/>
      <c r="G252" s="41"/>
      <c r="H252" s="351"/>
      <c r="I252" s="351"/>
      <c r="J252" s="351"/>
      <c r="K252" s="351"/>
      <c r="L252" s="327"/>
      <c r="M252" s="327"/>
      <c r="N252" s="327"/>
      <c r="O252" s="327"/>
      <c r="P252" s="327"/>
      <c r="Q252" s="327"/>
      <c r="R252" s="327"/>
      <c r="T252" s="329"/>
    </row>
    <row r="253" spans="1:20" s="328" customFormat="1" ht="17.25" customHeight="1">
      <c r="A253" s="374" t="s">
        <v>418</v>
      </c>
      <c r="B253" s="420" t="s">
        <v>143</v>
      </c>
      <c r="C253" s="421" t="s">
        <v>108</v>
      </c>
      <c r="D253" s="422" t="s">
        <v>58</v>
      </c>
      <c r="E253" s="423">
        <f>SUM(G234:G252)*0.01</f>
        <v>0</v>
      </c>
      <c r="F253" s="424">
        <v>0</v>
      </c>
      <c r="G253" s="41">
        <f>$E253*F253</f>
        <v>0</v>
      </c>
      <c r="H253" s="351"/>
      <c r="I253" s="351"/>
      <c r="J253" s="351"/>
      <c r="K253" s="351"/>
      <c r="L253" s="327"/>
      <c r="M253" s="327"/>
      <c r="N253" s="327"/>
      <c r="O253" s="327"/>
      <c r="P253" s="327"/>
      <c r="Q253" s="327"/>
      <c r="R253" s="327"/>
      <c r="T253" s="329"/>
    </row>
    <row r="254" spans="1:20" s="156" customFormat="1" ht="12" customHeight="1" thickBot="1">
      <c r="A254" s="250"/>
      <c r="B254" s="410"/>
      <c r="C254" s="306"/>
      <c r="D254" s="307"/>
      <c r="E254" s="411"/>
      <c r="F254" s="254"/>
      <c r="G254" s="255"/>
      <c r="H254" s="169"/>
      <c r="I254" s="169"/>
      <c r="J254" s="169"/>
      <c r="K254" s="169"/>
      <c r="L254" s="155"/>
      <c r="M254" s="155"/>
      <c r="N254" s="155"/>
      <c r="O254" s="155"/>
      <c r="P254" s="155"/>
      <c r="Q254" s="155"/>
      <c r="R254" s="155"/>
      <c r="T254" s="157"/>
    </row>
    <row r="255" spans="1:20" s="156" customFormat="1" ht="16.5" customHeight="1" thickBot="1">
      <c r="A255" s="405"/>
      <c r="B255" s="406"/>
      <c r="C255" s="311" t="s">
        <v>34</v>
      </c>
      <c r="D255" s="312"/>
      <c r="E255" s="407"/>
      <c r="F255" s="314"/>
      <c r="G255" s="131">
        <f>SUBTOTAL(9,G234:G254)</f>
        <v>0</v>
      </c>
      <c r="H255" s="169"/>
      <c r="I255" s="169"/>
      <c r="J255" s="169"/>
      <c r="K255" s="169"/>
      <c r="L255" s="155"/>
      <c r="M255" s="155"/>
      <c r="N255" s="155"/>
      <c r="O255" s="155"/>
      <c r="P255" s="155"/>
      <c r="Q255" s="155"/>
      <c r="R255" s="155"/>
      <c r="T255" s="157"/>
    </row>
    <row r="256" spans="1:20" s="156" customFormat="1" ht="13.7" customHeight="1" thickBot="1">
      <c r="A256" s="408"/>
      <c r="B256" s="348"/>
      <c r="C256" s="318"/>
      <c r="D256" s="318"/>
      <c r="E256" s="409"/>
      <c r="F256" s="270"/>
      <c r="G256" s="271"/>
      <c r="H256" s="169"/>
      <c r="I256" s="169"/>
      <c r="J256" s="169"/>
      <c r="K256" s="169"/>
      <c r="L256" s="155"/>
      <c r="M256" s="155"/>
      <c r="N256" s="155"/>
      <c r="O256" s="155"/>
      <c r="P256" s="155"/>
      <c r="Q256" s="155"/>
      <c r="R256" s="155"/>
      <c r="T256" s="157"/>
    </row>
    <row r="257" spans="1:20" s="280" customFormat="1" ht="16.5" customHeight="1" thickBot="1">
      <c r="A257" s="272" t="s">
        <v>65</v>
      </c>
      <c r="B257" s="273" t="s">
        <v>72</v>
      </c>
      <c r="C257" s="274" t="s">
        <v>109</v>
      </c>
      <c r="D257" s="275"/>
      <c r="E257" s="276"/>
      <c r="F257" s="277"/>
      <c r="G257" s="278"/>
      <c r="H257" s="262"/>
      <c r="I257" s="262"/>
      <c r="J257" s="262"/>
      <c r="K257" s="262"/>
      <c r="L257" s="279"/>
      <c r="M257" s="279"/>
      <c r="N257" s="279"/>
      <c r="O257" s="279"/>
      <c r="P257" s="279"/>
      <c r="Q257" s="279"/>
      <c r="R257" s="279"/>
      <c r="T257" s="281"/>
    </row>
    <row r="258" spans="1:20" s="156" customFormat="1" ht="12" customHeight="1">
      <c r="A258" s="386"/>
      <c r="B258" s="387"/>
      <c r="C258" s="388"/>
      <c r="D258" s="389"/>
      <c r="E258" s="417"/>
      <c r="F258" s="418"/>
      <c r="G258" s="419"/>
      <c r="H258" s="169"/>
      <c r="I258" s="169"/>
      <c r="J258" s="169"/>
      <c r="K258" s="169"/>
      <c r="L258" s="155"/>
      <c r="M258" s="155"/>
      <c r="N258" s="155"/>
      <c r="O258" s="155"/>
      <c r="P258" s="155"/>
      <c r="Q258" s="155"/>
      <c r="R258" s="155"/>
      <c r="T258" s="157"/>
    </row>
    <row r="259" spans="1:20" s="46" customFormat="1" ht="15.75" customHeight="1">
      <c r="A259" s="54" t="s">
        <v>419</v>
      </c>
      <c r="B259" s="50" t="s">
        <v>140</v>
      </c>
      <c r="C259" s="66" t="s">
        <v>141</v>
      </c>
      <c r="D259" s="42" t="s">
        <v>26</v>
      </c>
      <c r="E259" s="43">
        <f>SUM(D260:D262)</f>
        <v>14.853000000000002</v>
      </c>
      <c r="F259" s="43">
        <v>0</v>
      </c>
      <c r="G259" s="41">
        <f>$E259*F259</f>
        <v>0</v>
      </c>
      <c r="H259" s="145"/>
      <c r="I259" s="145"/>
      <c r="J259" s="145"/>
      <c r="K259" s="145"/>
      <c r="L259" s="45"/>
      <c r="M259" s="45"/>
      <c r="N259" s="45"/>
      <c r="O259" s="45"/>
      <c r="P259" s="45"/>
      <c r="Q259" s="45"/>
      <c r="R259" s="45"/>
      <c r="T259" s="47"/>
    </row>
    <row r="260" spans="1:13" s="149" customFormat="1" ht="17.25" customHeight="1">
      <c r="A260" s="147"/>
      <c r="B260" s="412" t="s">
        <v>279</v>
      </c>
      <c r="C260" s="645">
        <v>6.4</v>
      </c>
      <c r="D260" s="641">
        <f>6.4</f>
        <v>6.4</v>
      </c>
      <c r="E260" s="642"/>
      <c r="F260" s="148"/>
      <c r="G260" s="643"/>
      <c r="H260" s="413"/>
      <c r="I260" s="413"/>
      <c r="J260" s="413"/>
      <c r="K260" s="413"/>
      <c r="L260" s="644"/>
      <c r="M260" s="644"/>
    </row>
    <row r="261" spans="1:13" s="149" customFormat="1" ht="13.5" customHeight="1">
      <c r="A261" s="147"/>
      <c r="B261" s="412" t="s">
        <v>338</v>
      </c>
      <c r="C261" s="645">
        <v>4.7</v>
      </c>
      <c r="D261" s="641">
        <f>4.7</f>
        <v>4.7</v>
      </c>
      <c r="E261" s="691"/>
      <c r="F261" s="148"/>
      <c r="G261" s="643"/>
      <c r="H261" s="413"/>
      <c r="I261" s="413"/>
      <c r="J261" s="413"/>
      <c r="K261" s="413"/>
      <c r="L261" s="644"/>
      <c r="M261" s="644"/>
    </row>
    <row r="262" spans="1:13" s="149" customFormat="1" ht="17.25" customHeight="1">
      <c r="A262" s="147"/>
      <c r="B262" s="412" t="s">
        <v>283</v>
      </c>
      <c r="C262" s="640" t="s">
        <v>284</v>
      </c>
      <c r="D262" s="641">
        <f>0.167*1.5*6+0.3*1.5*5</f>
        <v>3.753</v>
      </c>
      <c r="E262" s="642"/>
      <c r="F262" s="148"/>
      <c r="G262" s="643"/>
      <c r="H262" s="413"/>
      <c r="I262" s="413"/>
      <c r="J262" s="413"/>
      <c r="K262" s="413"/>
      <c r="L262" s="644"/>
      <c r="M262" s="644"/>
    </row>
    <row r="263" spans="1:20" s="39" customFormat="1" ht="15.75" customHeight="1">
      <c r="A263" s="31"/>
      <c r="B263" s="32"/>
      <c r="C263" s="33"/>
      <c r="D263" s="34"/>
      <c r="E263" s="35"/>
      <c r="F263" s="35"/>
      <c r="G263" s="36"/>
      <c r="H263" s="37"/>
      <c r="I263" s="37"/>
      <c r="J263" s="37"/>
      <c r="K263" s="37"/>
      <c r="L263" s="38"/>
      <c r="M263" s="38"/>
      <c r="N263" s="38"/>
      <c r="O263" s="38"/>
      <c r="P263" s="38"/>
      <c r="Q263" s="38"/>
      <c r="R263" s="38"/>
      <c r="T263" s="40"/>
    </row>
    <row r="264" spans="1:20" s="39" customFormat="1" ht="30.75" customHeight="1">
      <c r="A264" s="54" t="s">
        <v>420</v>
      </c>
      <c r="B264" s="672" t="s">
        <v>240</v>
      </c>
      <c r="C264" s="66" t="s">
        <v>241</v>
      </c>
      <c r="D264" s="42" t="s">
        <v>26</v>
      </c>
      <c r="E264" s="43">
        <v>32.3</v>
      </c>
      <c r="F264" s="43">
        <v>0</v>
      </c>
      <c r="G264" s="41">
        <f>$E264*F264</f>
        <v>0</v>
      </c>
      <c r="H264" s="37"/>
      <c r="I264" s="37"/>
      <c r="J264" s="37"/>
      <c r="K264" s="37"/>
      <c r="L264" s="38"/>
      <c r="M264" s="38"/>
      <c r="N264" s="38"/>
      <c r="O264" s="38"/>
      <c r="P264" s="38"/>
      <c r="Q264" s="38"/>
      <c r="R264" s="38"/>
      <c r="T264" s="40"/>
    </row>
    <row r="265" spans="1:13" s="149" customFormat="1" ht="17.25" customHeight="1">
      <c r="A265" s="147"/>
      <c r="B265" s="412" t="s">
        <v>279</v>
      </c>
      <c r="C265" s="645">
        <v>6.4</v>
      </c>
      <c r="D265" s="641">
        <f>6.4</f>
        <v>6.4</v>
      </c>
      <c r="E265" s="642"/>
      <c r="F265" s="148"/>
      <c r="G265" s="643"/>
      <c r="H265" s="413"/>
      <c r="I265" s="413"/>
      <c r="J265" s="413"/>
      <c r="K265" s="413"/>
      <c r="L265" s="644"/>
      <c r="M265" s="644"/>
    </row>
    <row r="266" spans="1:13" s="149" customFormat="1" ht="13.5" customHeight="1">
      <c r="A266" s="147"/>
      <c r="B266" s="412" t="s">
        <v>338</v>
      </c>
      <c r="C266" s="645">
        <v>4.7</v>
      </c>
      <c r="D266" s="641">
        <f>4.7</f>
        <v>4.7</v>
      </c>
      <c r="E266" s="691"/>
      <c r="F266" s="148"/>
      <c r="G266" s="643"/>
      <c r="H266" s="413"/>
      <c r="I266" s="413"/>
      <c r="J266" s="413"/>
      <c r="K266" s="413"/>
      <c r="L266" s="644"/>
      <c r="M266" s="644"/>
    </row>
    <row r="267" spans="1:13" s="149" customFormat="1" ht="17.25" customHeight="1">
      <c r="A267" s="147"/>
      <c r="B267" s="412" t="s">
        <v>283</v>
      </c>
      <c r="C267" s="640" t="s">
        <v>284</v>
      </c>
      <c r="D267" s="641">
        <f>0.167*1.5*6+0.3*1.5*5</f>
        <v>3.753</v>
      </c>
      <c r="E267" s="642"/>
      <c r="F267" s="148"/>
      <c r="G267" s="643"/>
      <c r="H267" s="413"/>
      <c r="I267" s="413"/>
      <c r="J267" s="413"/>
      <c r="K267" s="413"/>
      <c r="L267" s="644"/>
      <c r="M267" s="644"/>
    </row>
    <row r="268" spans="1:20" s="39" customFormat="1" ht="30.75" customHeight="1">
      <c r="A268" s="54" t="s">
        <v>421</v>
      </c>
      <c r="B268" s="672" t="s">
        <v>339</v>
      </c>
      <c r="C268" s="66" t="s">
        <v>340</v>
      </c>
      <c r="D268" s="42" t="s">
        <v>26</v>
      </c>
      <c r="E268" s="43">
        <f>SUM(D269)</f>
        <v>3.753</v>
      </c>
      <c r="F268" s="43">
        <v>0</v>
      </c>
      <c r="G268" s="41">
        <f>$E268*F268</f>
        <v>0</v>
      </c>
      <c r="H268" s="37"/>
      <c r="I268" s="37"/>
      <c r="J268" s="37"/>
      <c r="K268" s="37"/>
      <c r="L268" s="38"/>
      <c r="M268" s="38"/>
      <c r="N268" s="38"/>
      <c r="O268" s="38"/>
      <c r="P268" s="38"/>
      <c r="Q268" s="38"/>
      <c r="R268" s="38"/>
      <c r="T268" s="40"/>
    </row>
    <row r="269" spans="1:13" s="149" customFormat="1" ht="17.25" customHeight="1">
      <c r="A269" s="147"/>
      <c r="B269" s="412" t="s">
        <v>283</v>
      </c>
      <c r="C269" s="640" t="s">
        <v>284</v>
      </c>
      <c r="D269" s="641">
        <f>0.167*1.5*6+0.3*1.5*5</f>
        <v>3.753</v>
      </c>
      <c r="E269" s="642"/>
      <c r="F269" s="148"/>
      <c r="G269" s="643"/>
      <c r="H269" s="413"/>
      <c r="I269" s="413"/>
      <c r="J269" s="413"/>
      <c r="K269" s="413"/>
      <c r="L269" s="644"/>
      <c r="M269" s="644"/>
    </row>
    <row r="270" spans="1:20" s="39" customFormat="1" ht="15.75" customHeight="1">
      <c r="A270" s="31"/>
      <c r="B270" s="32"/>
      <c r="C270" s="33"/>
      <c r="D270" s="34"/>
      <c r="E270" s="35"/>
      <c r="F270" s="35"/>
      <c r="G270" s="36"/>
      <c r="H270" s="37"/>
      <c r="I270" s="37"/>
      <c r="J270" s="37"/>
      <c r="K270" s="37"/>
      <c r="L270" s="38"/>
      <c r="M270" s="38"/>
      <c r="N270" s="38"/>
      <c r="O270" s="38"/>
      <c r="P270" s="38"/>
      <c r="Q270" s="38"/>
      <c r="R270" s="38"/>
      <c r="T270" s="40"/>
    </row>
    <row r="271" spans="1:20" s="328" customFormat="1" ht="16.5" customHeight="1">
      <c r="A271" s="54" t="s">
        <v>422</v>
      </c>
      <c r="B271" s="420" t="s">
        <v>341</v>
      </c>
      <c r="C271" s="421" t="s">
        <v>342</v>
      </c>
      <c r="D271" s="422" t="s">
        <v>31</v>
      </c>
      <c r="E271" s="43">
        <f>SUM(D272)</f>
        <v>9</v>
      </c>
      <c r="F271" s="424">
        <v>0</v>
      </c>
      <c r="G271" s="41">
        <f>$E271*F271</f>
        <v>0</v>
      </c>
      <c r="H271" s="351"/>
      <c r="I271" s="351"/>
      <c r="J271" s="351"/>
      <c r="K271" s="351"/>
      <c r="L271" s="327"/>
      <c r="M271" s="327"/>
      <c r="N271" s="327"/>
      <c r="O271" s="327"/>
      <c r="P271" s="327"/>
      <c r="Q271" s="327"/>
      <c r="R271" s="327"/>
      <c r="T271" s="329"/>
    </row>
    <row r="272" spans="1:13" s="149" customFormat="1" ht="17.25" customHeight="1">
      <c r="A272" s="147"/>
      <c r="B272" s="412" t="s">
        <v>283</v>
      </c>
      <c r="C272" s="640" t="s">
        <v>343</v>
      </c>
      <c r="D272" s="641">
        <f>1.5*6</f>
        <v>9</v>
      </c>
      <c r="E272" s="642"/>
      <c r="F272" s="148"/>
      <c r="G272" s="643"/>
      <c r="H272" s="413"/>
      <c r="I272" s="413"/>
      <c r="J272" s="413"/>
      <c r="K272" s="413"/>
      <c r="L272" s="644"/>
      <c r="M272" s="644"/>
    </row>
    <row r="273" spans="1:20" s="39" customFormat="1" ht="15.75" customHeight="1">
      <c r="A273" s="31"/>
      <c r="B273" s="32"/>
      <c r="C273" s="33"/>
      <c r="D273" s="34"/>
      <c r="E273" s="35"/>
      <c r="F273" s="35"/>
      <c r="G273" s="36"/>
      <c r="H273" s="37"/>
      <c r="I273" s="37"/>
      <c r="J273" s="37"/>
      <c r="K273" s="37"/>
      <c r="L273" s="38"/>
      <c r="M273" s="38"/>
      <c r="N273" s="38"/>
      <c r="O273" s="38"/>
      <c r="P273" s="38"/>
      <c r="Q273" s="38"/>
      <c r="R273" s="38"/>
      <c r="T273" s="40"/>
    </row>
    <row r="274" spans="1:20" s="328" customFormat="1" ht="16.5" customHeight="1">
      <c r="A274" s="54" t="s">
        <v>423</v>
      </c>
      <c r="B274" s="420" t="s">
        <v>242</v>
      </c>
      <c r="C274" s="421" t="s">
        <v>110</v>
      </c>
      <c r="D274" s="422" t="s">
        <v>26</v>
      </c>
      <c r="E274" s="43">
        <f>SUM(D275:D276)</f>
        <v>10.582500000000001</v>
      </c>
      <c r="F274" s="424">
        <v>0</v>
      </c>
      <c r="G274" s="41">
        <f aca="true" t="shared" si="35" ref="G274:G283">$E274*F274</f>
        <v>0</v>
      </c>
      <c r="H274" s="351"/>
      <c r="I274" s="351"/>
      <c r="J274" s="351"/>
      <c r="K274" s="351"/>
      <c r="L274" s="327"/>
      <c r="M274" s="327"/>
      <c r="N274" s="327"/>
      <c r="O274" s="327"/>
      <c r="P274" s="327"/>
      <c r="Q274" s="327"/>
      <c r="R274" s="327"/>
      <c r="T274" s="329"/>
    </row>
    <row r="275" spans="1:13" s="149" customFormat="1" ht="17.25" customHeight="1">
      <c r="A275" s="147"/>
      <c r="B275" s="412" t="s">
        <v>279</v>
      </c>
      <c r="C275" s="645">
        <v>6.4</v>
      </c>
      <c r="D275" s="641">
        <f>6.4</f>
        <v>6.4</v>
      </c>
      <c r="E275" s="642"/>
      <c r="F275" s="148"/>
      <c r="G275" s="643"/>
      <c r="H275" s="413"/>
      <c r="I275" s="413"/>
      <c r="J275" s="413"/>
      <c r="K275" s="413"/>
      <c r="L275" s="644"/>
      <c r="M275" s="644"/>
    </row>
    <row r="276" spans="1:13" s="149" customFormat="1" ht="13.5" customHeight="1">
      <c r="A276" s="147"/>
      <c r="B276" s="412" t="s">
        <v>338</v>
      </c>
      <c r="C276" s="645" t="s">
        <v>346</v>
      </c>
      <c r="D276" s="641">
        <f>4.7-0.45*0.55-0.45*0.6</f>
        <v>4.182500000000001</v>
      </c>
      <c r="E276" s="691"/>
      <c r="F276" s="148"/>
      <c r="G276" s="643"/>
      <c r="H276" s="413"/>
      <c r="I276" s="413"/>
      <c r="J276" s="413"/>
      <c r="K276" s="413"/>
      <c r="L276" s="644"/>
      <c r="M276" s="644"/>
    </row>
    <row r="277" spans="1:20" s="39" customFormat="1" ht="15.75" customHeight="1">
      <c r="A277" s="31"/>
      <c r="B277" s="32"/>
      <c r="C277" s="33"/>
      <c r="D277" s="34"/>
      <c r="E277" s="35"/>
      <c r="F277" s="35"/>
      <c r="G277" s="36"/>
      <c r="H277" s="37"/>
      <c r="I277" s="37"/>
      <c r="J277" s="37"/>
      <c r="K277" s="37"/>
      <c r="L277" s="38"/>
      <c r="M277" s="38"/>
      <c r="N277" s="38"/>
      <c r="O277" s="38"/>
      <c r="P277" s="38"/>
      <c r="Q277" s="38"/>
      <c r="R277" s="38"/>
      <c r="T277" s="40"/>
    </row>
    <row r="278" spans="1:20" s="328" customFormat="1" ht="16.5" customHeight="1">
      <c r="A278" s="54" t="s">
        <v>425</v>
      </c>
      <c r="B278" s="420" t="s">
        <v>243</v>
      </c>
      <c r="C278" s="421" t="s">
        <v>424</v>
      </c>
      <c r="D278" s="422" t="s">
        <v>26</v>
      </c>
      <c r="E278" s="423">
        <f>SUM(D279:D281)</f>
        <v>16.120350000000002</v>
      </c>
      <c r="F278" s="424">
        <v>0</v>
      </c>
      <c r="G278" s="41">
        <f t="shared" si="35"/>
        <v>0</v>
      </c>
      <c r="H278" s="351"/>
      <c r="I278" s="351"/>
      <c r="J278" s="351"/>
      <c r="K278" s="351"/>
      <c r="L278" s="327"/>
      <c r="M278" s="327"/>
      <c r="N278" s="327"/>
      <c r="O278" s="327"/>
      <c r="P278" s="327"/>
      <c r="Q278" s="327"/>
      <c r="R278" s="327"/>
      <c r="T278" s="329"/>
    </row>
    <row r="279" spans="1:13" s="149" customFormat="1" ht="17.25" customHeight="1">
      <c r="A279" s="147"/>
      <c r="B279" s="412" t="s">
        <v>279</v>
      </c>
      <c r="C279" s="645" t="s">
        <v>344</v>
      </c>
      <c r="D279" s="641">
        <f>6.4*1.08</f>
        <v>6.912000000000001</v>
      </c>
      <c r="E279" s="642"/>
      <c r="F279" s="148"/>
      <c r="G279" s="643"/>
      <c r="H279" s="413"/>
      <c r="I279" s="413"/>
      <c r="J279" s="413"/>
      <c r="K279" s="413"/>
      <c r="L279" s="644"/>
      <c r="M279" s="644"/>
    </row>
    <row r="280" spans="1:13" s="149" customFormat="1" ht="15.75" customHeight="1">
      <c r="A280" s="147"/>
      <c r="B280" s="412" t="s">
        <v>338</v>
      </c>
      <c r="C280" s="645" t="s">
        <v>347</v>
      </c>
      <c r="D280" s="641">
        <f>(4.7-0.45*0.55-0.45*0.6)*1.08</f>
        <v>4.517100000000001</v>
      </c>
      <c r="E280" s="691"/>
      <c r="F280" s="148"/>
      <c r="G280" s="643"/>
      <c r="H280" s="413"/>
      <c r="I280" s="413"/>
      <c r="J280" s="413"/>
      <c r="K280" s="413"/>
      <c r="L280" s="644"/>
      <c r="M280" s="644"/>
    </row>
    <row r="281" spans="1:13" s="149" customFormat="1" ht="17.25" customHeight="1">
      <c r="A281" s="147"/>
      <c r="B281" s="412" t="s">
        <v>283</v>
      </c>
      <c r="C281" s="640" t="s">
        <v>345</v>
      </c>
      <c r="D281" s="641">
        <f>(0.167*1.5*6+0.3*1.5*5)*1.25</f>
        <v>4.69125</v>
      </c>
      <c r="E281" s="642"/>
      <c r="F281" s="148"/>
      <c r="G281" s="643"/>
      <c r="H281" s="413"/>
      <c r="I281" s="413"/>
      <c r="J281" s="413"/>
      <c r="K281" s="413"/>
      <c r="L281" s="644"/>
      <c r="M281" s="644"/>
    </row>
    <row r="282" spans="1:20" s="39" customFormat="1" ht="15.75" customHeight="1">
      <c r="A282" s="31"/>
      <c r="B282" s="32"/>
      <c r="C282" s="33"/>
      <c r="D282" s="34"/>
      <c r="E282" s="35"/>
      <c r="F282" s="35"/>
      <c r="G282" s="36"/>
      <c r="H282" s="37"/>
      <c r="I282" s="37"/>
      <c r="J282" s="37"/>
      <c r="K282" s="37"/>
      <c r="L282" s="38"/>
      <c r="M282" s="38"/>
      <c r="N282" s="38"/>
      <c r="O282" s="38"/>
      <c r="P282" s="38"/>
      <c r="Q282" s="38"/>
      <c r="R282" s="38"/>
      <c r="T282" s="40"/>
    </row>
    <row r="283" spans="1:20" s="29" customFormat="1" ht="14.25" customHeight="1">
      <c r="A283" s="54" t="s">
        <v>68</v>
      </c>
      <c r="B283" s="476" t="s">
        <v>244</v>
      </c>
      <c r="C283" s="453" t="s">
        <v>239</v>
      </c>
      <c r="D283" s="454" t="s">
        <v>31</v>
      </c>
      <c r="E283" s="62">
        <f>SUM(D284)</f>
        <v>4.1</v>
      </c>
      <c r="F283" s="63">
        <v>0</v>
      </c>
      <c r="G283" s="41">
        <f t="shared" si="35"/>
        <v>0</v>
      </c>
      <c r="H283" s="647"/>
      <c r="I283" s="647"/>
      <c r="J283" s="647"/>
      <c r="K283" s="647"/>
      <c r="L283" s="648"/>
      <c r="M283" s="648"/>
      <c r="N283" s="648"/>
      <c r="O283" s="648"/>
      <c r="P283" s="648"/>
      <c r="Q283" s="648"/>
      <c r="R283" s="648"/>
      <c r="T283" s="30"/>
    </row>
    <row r="284" spans="1:13" s="149" customFormat="1" ht="15.75" customHeight="1">
      <c r="A284" s="147"/>
      <c r="B284" s="412" t="s">
        <v>338</v>
      </c>
      <c r="C284" s="645" t="s">
        <v>348</v>
      </c>
      <c r="D284" s="641">
        <f>(0.45+0.55+0.45+0.6)*2</f>
        <v>4.1</v>
      </c>
      <c r="E284" s="691"/>
      <c r="F284" s="148"/>
      <c r="G284" s="643"/>
      <c r="H284" s="413"/>
      <c r="I284" s="413"/>
      <c r="J284" s="413"/>
      <c r="K284" s="413"/>
      <c r="L284" s="644"/>
      <c r="M284" s="644"/>
    </row>
    <row r="285" spans="1:20" s="328" customFormat="1" ht="24" customHeight="1">
      <c r="A285" s="20" t="s">
        <v>69</v>
      </c>
      <c r="B285" s="420" t="s">
        <v>245</v>
      </c>
      <c r="C285" s="421" t="s">
        <v>142</v>
      </c>
      <c r="D285" s="422" t="s">
        <v>58</v>
      </c>
      <c r="E285" s="423">
        <f>SUM(G258:G284)*0.01</f>
        <v>0</v>
      </c>
      <c r="F285" s="424">
        <v>0</v>
      </c>
      <c r="G285" s="41">
        <f aca="true" t="shared" si="36" ref="G285">$E285*F285</f>
        <v>0</v>
      </c>
      <c r="H285" s="351"/>
      <c r="I285" s="351"/>
      <c r="J285" s="351"/>
      <c r="K285" s="351"/>
      <c r="L285" s="327"/>
      <c r="M285" s="327"/>
      <c r="N285" s="327"/>
      <c r="O285" s="327"/>
      <c r="P285" s="327"/>
      <c r="Q285" s="327"/>
      <c r="R285" s="327"/>
      <c r="T285" s="329"/>
    </row>
    <row r="286" spans="1:20" s="156" customFormat="1" ht="12" customHeight="1" thickBot="1">
      <c r="A286" s="250"/>
      <c r="B286" s="410"/>
      <c r="C286" s="306"/>
      <c r="D286" s="307"/>
      <c r="E286" s="411"/>
      <c r="F286" s="254"/>
      <c r="G286" s="255"/>
      <c r="H286" s="169"/>
      <c r="I286" s="169"/>
      <c r="J286" s="169"/>
      <c r="K286" s="169"/>
      <c r="L286" s="155"/>
      <c r="M286" s="155"/>
      <c r="N286" s="155"/>
      <c r="O286" s="155"/>
      <c r="P286" s="155"/>
      <c r="Q286" s="155"/>
      <c r="R286" s="155"/>
      <c r="T286" s="157"/>
    </row>
    <row r="287" spans="1:20" s="156" customFormat="1" ht="16.5" customHeight="1" thickBot="1">
      <c r="A287" s="405"/>
      <c r="B287" s="406"/>
      <c r="C287" s="311" t="s">
        <v>34</v>
      </c>
      <c r="D287" s="312"/>
      <c r="E287" s="407"/>
      <c r="F287" s="314"/>
      <c r="G287" s="131">
        <f>SUBTOTAL(9,G258:G286)</f>
        <v>0</v>
      </c>
      <c r="H287" s="169"/>
      <c r="I287" s="169"/>
      <c r="J287" s="169"/>
      <c r="K287" s="169"/>
      <c r="L287" s="155"/>
      <c r="M287" s="155"/>
      <c r="N287" s="155"/>
      <c r="O287" s="155"/>
      <c r="P287" s="155"/>
      <c r="Q287" s="155"/>
      <c r="R287" s="155"/>
      <c r="T287" s="157"/>
    </row>
    <row r="288" spans="1:20" s="156" customFormat="1" ht="13.7" customHeight="1" thickBot="1">
      <c r="A288" s="408"/>
      <c r="B288" s="348"/>
      <c r="C288" s="318"/>
      <c r="D288" s="318"/>
      <c r="E288" s="409"/>
      <c r="F288" s="270"/>
      <c r="G288" s="271"/>
      <c r="H288" s="169"/>
      <c r="I288" s="169"/>
      <c r="J288" s="169"/>
      <c r="K288" s="169"/>
      <c r="L288" s="155"/>
      <c r="M288" s="155"/>
      <c r="N288" s="155"/>
      <c r="O288" s="155"/>
      <c r="P288" s="155"/>
      <c r="Q288" s="155"/>
      <c r="R288" s="155"/>
      <c r="T288" s="157"/>
    </row>
    <row r="289" spans="1:20" s="280" customFormat="1" ht="16.5" customHeight="1" thickBot="1">
      <c r="A289" s="272" t="s">
        <v>71</v>
      </c>
      <c r="B289" s="273" t="s">
        <v>111</v>
      </c>
      <c r="C289" s="274" t="s">
        <v>77</v>
      </c>
      <c r="D289" s="275"/>
      <c r="E289" s="276"/>
      <c r="F289" s="277"/>
      <c r="G289" s="278"/>
      <c r="H289" s="262"/>
      <c r="I289" s="262"/>
      <c r="J289" s="262"/>
      <c r="K289" s="262"/>
      <c r="L289" s="279"/>
      <c r="M289" s="279"/>
      <c r="N289" s="279"/>
      <c r="O289" s="279"/>
      <c r="P289" s="279"/>
      <c r="Q289" s="279"/>
      <c r="R289" s="279"/>
      <c r="T289" s="281"/>
    </row>
    <row r="290" spans="1:20" s="156" customFormat="1" ht="12" customHeight="1">
      <c r="A290" s="386"/>
      <c r="B290" s="387"/>
      <c r="C290" s="388"/>
      <c r="D290" s="389"/>
      <c r="E290" s="417"/>
      <c r="F290" s="418"/>
      <c r="G290" s="419"/>
      <c r="H290" s="169"/>
      <c r="I290" s="169"/>
      <c r="J290" s="169"/>
      <c r="K290" s="169"/>
      <c r="L290" s="155"/>
      <c r="M290" s="155"/>
      <c r="N290" s="155"/>
      <c r="O290" s="155"/>
      <c r="P290" s="155"/>
      <c r="Q290" s="155"/>
      <c r="R290" s="155"/>
      <c r="T290" s="157"/>
    </row>
    <row r="291" spans="1:20" s="29" customFormat="1" ht="20.25" customHeight="1">
      <c r="A291" s="20" t="s">
        <v>73</v>
      </c>
      <c r="B291" s="21" t="s">
        <v>360</v>
      </c>
      <c r="C291" s="22" t="s">
        <v>361</v>
      </c>
      <c r="D291" s="23" t="s">
        <v>26</v>
      </c>
      <c r="E291" s="24">
        <f>SUM(D292:D292)</f>
        <v>19.11</v>
      </c>
      <c r="F291" s="25">
        <v>0</v>
      </c>
      <c r="G291" s="41">
        <f>$E291*F291</f>
        <v>0</v>
      </c>
      <c r="H291" s="27"/>
      <c r="I291" s="690"/>
      <c r="J291" s="27"/>
      <c r="K291" s="27"/>
      <c r="L291" s="28"/>
      <c r="M291" s="28"/>
      <c r="N291" s="28"/>
      <c r="O291" s="28"/>
      <c r="P291" s="28"/>
      <c r="Q291" s="28"/>
      <c r="R291" s="28"/>
      <c r="T291" s="30"/>
    </row>
    <row r="292" spans="1:20" s="361" customFormat="1" ht="15.75" customHeight="1">
      <c r="A292" s="290"/>
      <c r="B292" s="291" t="s">
        <v>358</v>
      </c>
      <c r="C292" s="336" t="s">
        <v>359</v>
      </c>
      <c r="D292" s="292">
        <f>4.9*3.9</f>
        <v>19.11</v>
      </c>
      <c r="E292" s="337"/>
      <c r="F292" s="292"/>
      <c r="G292" s="293"/>
      <c r="H292" s="294"/>
      <c r="I292" s="294"/>
      <c r="J292" s="294"/>
      <c r="K292" s="294"/>
      <c r="L292" s="360"/>
      <c r="M292" s="360"/>
      <c r="N292" s="360"/>
      <c r="O292" s="360"/>
      <c r="P292" s="360"/>
      <c r="Q292" s="360"/>
      <c r="R292" s="360"/>
      <c r="T292" s="362"/>
    </row>
    <row r="293" spans="1:20" s="29" customFormat="1" ht="14.25" customHeight="1">
      <c r="A293" s="20"/>
      <c r="B293" s="476"/>
      <c r="C293" s="150"/>
      <c r="D293" s="151"/>
      <c r="E293" s="477"/>
      <c r="F293" s="478"/>
      <c r="G293" s="41"/>
      <c r="H293" s="27"/>
      <c r="I293" s="27"/>
      <c r="J293" s="27"/>
      <c r="K293" s="27"/>
      <c r="L293" s="28"/>
      <c r="M293" s="28"/>
      <c r="N293" s="28"/>
      <c r="O293" s="28"/>
      <c r="P293" s="28"/>
      <c r="Q293" s="28"/>
      <c r="R293" s="28"/>
      <c r="T293" s="30"/>
    </row>
    <row r="294" spans="1:20" s="328" customFormat="1" ht="16.5" customHeight="1">
      <c r="A294" s="374" t="s">
        <v>74</v>
      </c>
      <c r="B294" s="420" t="s">
        <v>356</v>
      </c>
      <c r="C294" s="421" t="s">
        <v>357</v>
      </c>
      <c r="D294" s="422" t="s">
        <v>26</v>
      </c>
      <c r="E294" s="423">
        <f>SUM(D295:D295)</f>
        <v>19.11</v>
      </c>
      <c r="F294" s="424">
        <v>0</v>
      </c>
      <c r="G294" s="41">
        <f aca="true" t="shared" si="37" ref="G294">$E294*F294</f>
        <v>0</v>
      </c>
      <c r="H294" s="351"/>
      <c r="I294" s="351"/>
      <c r="J294" s="351"/>
      <c r="K294" s="351"/>
      <c r="L294" s="327"/>
      <c r="M294" s="327"/>
      <c r="N294" s="327"/>
      <c r="O294" s="327"/>
      <c r="P294" s="327"/>
      <c r="Q294" s="327"/>
      <c r="R294" s="327"/>
      <c r="T294" s="329"/>
    </row>
    <row r="295" spans="1:20" s="361" customFormat="1" ht="15.75" customHeight="1">
      <c r="A295" s="290"/>
      <c r="B295" s="291" t="s">
        <v>358</v>
      </c>
      <c r="C295" s="336" t="s">
        <v>359</v>
      </c>
      <c r="D295" s="292">
        <f>4.9*3.9</f>
        <v>19.11</v>
      </c>
      <c r="E295" s="337"/>
      <c r="F295" s="292"/>
      <c r="G295" s="293"/>
      <c r="H295" s="294"/>
      <c r="I295" s="294"/>
      <c r="J295" s="294"/>
      <c r="K295" s="294"/>
      <c r="L295" s="360"/>
      <c r="M295" s="360"/>
      <c r="N295" s="360"/>
      <c r="O295" s="360"/>
      <c r="P295" s="360"/>
      <c r="Q295" s="360"/>
      <c r="R295" s="360"/>
      <c r="T295" s="362"/>
    </row>
    <row r="296" spans="1:20" s="156" customFormat="1" ht="12" customHeight="1" thickBot="1">
      <c r="A296" s="250"/>
      <c r="B296" s="410"/>
      <c r="C296" s="306"/>
      <c r="D296" s="307"/>
      <c r="E296" s="411"/>
      <c r="F296" s="254"/>
      <c r="G296" s="255"/>
      <c r="H296" s="169"/>
      <c r="I296" s="169"/>
      <c r="J296" s="169"/>
      <c r="K296" s="169"/>
      <c r="L296" s="155"/>
      <c r="M296" s="155"/>
      <c r="N296" s="155"/>
      <c r="O296" s="155"/>
      <c r="P296" s="155"/>
      <c r="Q296" s="155"/>
      <c r="R296" s="155"/>
      <c r="T296" s="157"/>
    </row>
    <row r="297" spans="1:20" s="156" customFormat="1" ht="16.5" customHeight="1" thickBot="1">
      <c r="A297" s="405"/>
      <c r="B297" s="406"/>
      <c r="C297" s="311" t="s">
        <v>34</v>
      </c>
      <c r="D297" s="312"/>
      <c r="E297" s="407"/>
      <c r="F297" s="314"/>
      <c r="G297" s="131">
        <f>SUBTOTAL(9,G290:G296)</f>
        <v>0</v>
      </c>
      <c r="H297" s="169"/>
      <c r="I297" s="169"/>
      <c r="J297" s="169"/>
      <c r="K297" s="169"/>
      <c r="L297" s="155"/>
      <c r="M297" s="155"/>
      <c r="N297" s="155"/>
      <c r="O297" s="155"/>
      <c r="P297" s="155"/>
      <c r="Q297" s="155"/>
      <c r="R297" s="155"/>
      <c r="T297" s="157"/>
    </row>
    <row r="298" spans="1:20" s="156" customFormat="1" ht="13.7" customHeight="1" thickBot="1">
      <c r="A298" s="408"/>
      <c r="B298" s="348"/>
      <c r="C298" s="318"/>
      <c r="D298" s="318"/>
      <c r="E298" s="409"/>
      <c r="F298" s="270"/>
      <c r="G298" s="271"/>
      <c r="H298" s="169"/>
      <c r="I298" s="169"/>
      <c r="J298" s="169"/>
      <c r="K298" s="169"/>
      <c r="L298" s="155"/>
      <c r="M298" s="155"/>
      <c r="N298" s="155"/>
      <c r="O298" s="155"/>
      <c r="P298" s="155"/>
      <c r="Q298" s="155"/>
      <c r="R298" s="155"/>
      <c r="T298" s="157"/>
    </row>
    <row r="299" spans="1:20" s="280" customFormat="1" ht="16.5" customHeight="1" thickBot="1">
      <c r="A299" s="272" t="s">
        <v>364</v>
      </c>
      <c r="B299" s="273" t="s">
        <v>75</v>
      </c>
      <c r="C299" s="274" t="s">
        <v>76</v>
      </c>
      <c r="D299" s="275"/>
      <c r="E299" s="276"/>
      <c r="F299" s="277"/>
      <c r="G299" s="278"/>
      <c r="H299" s="262"/>
      <c r="I299" s="262"/>
      <c r="J299" s="262"/>
      <c r="K299" s="262"/>
      <c r="L299" s="279"/>
      <c r="M299" s="279"/>
      <c r="N299" s="279"/>
      <c r="O299" s="279"/>
      <c r="P299" s="279"/>
      <c r="Q299" s="279"/>
      <c r="R299" s="279"/>
      <c r="T299" s="281"/>
    </row>
    <row r="300" spans="1:20" s="156" customFormat="1" ht="12" customHeight="1">
      <c r="A300" s="386"/>
      <c r="B300" s="387"/>
      <c r="C300" s="388"/>
      <c r="D300" s="389"/>
      <c r="E300" s="417"/>
      <c r="F300" s="418"/>
      <c r="G300" s="419"/>
      <c r="H300" s="169"/>
      <c r="I300" s="169"/>
      <c r="J300" s="169"/>
      <c r="K300" s="169"/>
      <c r="L300" s="155"/>
      <c r="M300" s="155"/>
      <c r="N300" s="155"/>
      <c r="O300" s="155"/>
      <c r="P300" s="155"/>
      <c r="Q300" s="155"/>
      <c r="R300" s="155"/>
      <c r="T300" s="157"/>
    </row>
    <row r="301" spans="1:20" s="328" customFormat="1" ht="19.5" customHeight="1">
      <c r="A301" s="374" t="s">
        <v>426</v>
      </c>
      <c r="B301" s="420" t="s">
        <v>144</v>
      </c>
      <c r="C301" s="421" t="s">
        <v>112</v>
      </c>
      <c r="D301" s="422" t="s">
        <v>26</v>
      </c>
      <c r="E301" s="423">
        <f>SUM(D302:D304)</f>
        <v>150.7</v>
      </c>
      <c r="F301" s="424">
        <v>0</v>
      </c>
      <c r="G301" s="41">
        <f aca="true" t="shared" si="38" ref="G301:G306">$E301*F301</f>
        <v>0</v>
      </c>
      <c r="H301" s="351"/>
      <c r="I301" s="351"/>
      <c r="J301" s="351"/>
      <c r="K301" s="351"/>
      <c r="L301" s="327"/>
      <c r="M301" s="327"/>
      <c r="N301" s="327"/>
      <c r="O301" s="327"/>
      <c r="P301" s="327"/>
      <c r="Q301" s="327"/>
      <c r="R301" s="327"/>
      <c r="T301" s="329"/>
    </row>
    <row r="302" spans="1:13" s="149" customFormat="1" ht="20.25" customHeight="1">
      <c r="A302" s="147"/>
      <c r="B302" s="412"/>
      <c r="C302" s="640" t="s">
        <v>285</v>
      </c>
      <c r="D302" s="641">
        <f>19.2*3.9*2+19.2*3.2*2-185.2-5.46-8.4+40.22</f>
        <v>113.8</v>
      </c>
      <c r="E302" s="642"/>
      <c r="F302" s="148"/>
      <c r="G302" s="643"/>
      <c r="H302" s="413"/>
      <c r="I302" s="413"/>
      <c r="J302" s="413"/>
      <c r="K302" s="413"/>
      <c r="L302" s="644"/>
      <c r="M302" s="644"/>
    </row>
    <row r="303" spans="1:20" s="296" customFormat="1" ht="19.5" customHeight="1">
      <c r="A303" s="290"/>
      <c r="B303" s="291" t="s">
        <v>27</v>
      </c>
      <c r="C303" s="336" t="s">
        <v>271</v>
      </c>
      <c r="D303" s="292">
        <f>1.5*1*2+5.9*1*3+2.75*1*1</f>
        <v>23.450000000000003</v>
      </c>
      <c r="E303" s="337"/>
      <c r="F303" s="292"/>
      <c r="G303" s="293"/>
      <c r="H303" s="294"/>
      <c r="I303" s="294"/>
      <c r="J303" s="294"/>
      <c r="K303" s="294"/>
      <c r="L303" s="295"/>
      <c r="M303" s="295"/>
      <c r="N303" s="295"/>
      <c r="O303" s="295"/>
      <c r="P303" s="295"/>
      <c r="Q303" s="295"/>
      <c r="R303" s="295"/>
      <c r="T303" s="297"/>
    </row>
    <row r="304" spans="1:20" s="296" customFormat="1" ht="19.5" customHeight="1">
      <c r="A304" s="290"/>
      <c r="B304" s="291" t="s">
        <v>30</v>
      </c>
      <c r="C304" s="336" t="s">
        <v>321</v>
      </c>
      <c r="D304" s="292">
        <f>0.8*2.1*8+0.01</f>
        <v>13.450000000000001</v>
      </c>
      <c r="E304" s="337"/>
      <c r="F304" s="292"/>
      <c r="G304" s="293"/>
      <c r="H304" s="294"/>
      <c r="I304" s="294"/>
      <c r="J304" s="294"/>
      <c r="K304" s="294"/>
      <c r="L304" s="295"/>
      <c r="M304" s="295"/>
      <c r="N304" s="295"/>
      <c r="O304" s="295"/>
      <c r="P304" s="295"/>
      <c r="Q304" s="295"/>
      <c r="R304" s="295"/>
      <c r="T304" s="297"/>
    </row>
    <row r="305" spans="1:20" s="401" customFormat="1" ht="10.5" customHeight="1">
      <c r="A305" s="377"/>
      <c r="B305" s="425"/>
      <c r="C305" s="426"/>
      <c r="D305" s="479"/>
      <c r="E305" s="480"/>
      <c r="F305" s="427"/>
      <c r="G305" s="398"/>
      <c r="H305" s="428"/>
      <c r="I305" s="428"/>
      <c r="J305" s="428"/>
      <c r="K305" s="428"/>
      <c r="L305" s="400"/>
      <c r="M305" s="400"/>
      <c r="N305" s="400"/>
      <c r="O305" s="400"/>
      <c r="P305" s="400"/>
      <c r="Q305" s="400"/>
      <c r="R305" s="400"/>
      <c r="T305" s="402"/>
    </row>
    <row r="306" spans="1:20" s="328" customFormat="1" ht="18" customHeight="1">
      <c r="A306" s="374" t="s">
        <v>427</v>
      </c>
      <c r="B306" s="420" t="s">
        <v>145</v>
      </c>
      <c r="C306" s="421" t="s">
        <v>113</v>
      </c>
      <c r="D306" s="422" t="s">
        <v>26</v>
      </c>
      <c r="E306" s="423">
        <f>E301</f>
        <v>150.7</v>
      </c>
      <c r="F306" s="424">
        <v>0</v>
      </c>
      <c r="G306" s="41">
        <f t="shared" si="38"/>
        <v>0</v>
      </c>
      <c r="H306" s="351"/>
      <c r="I306" s="351"/>
      <c r="J306" s="351"/>
      <c r="K306" s="351"/>
      <c r="L306" s="327"/>
      <c r="M306" s="327"/>
      <c r="N306" s="327"/>
      <c r="O306" s="327"/>
      <c r="P306" s="327"/>
      <c r="Q306" s="327"/>
      <c r="R306" s="327"/>
      <c r="T306" s="329"/>
    </row>
    <row r="307" spans="1:20" s="156" customFormat="1" ht="12" customHeight="1" thickBot="1">
      <c r="A307" s="250"/>
      <c r="B307" s="410"/>
      <c r="C307" s="306"/>
      <c r="D307" s="307"/>
      <c r="E307" s="411"/>
      <c r="F307" s="254"/>
      <c r="G307" s="255"/>
      <c r="H307" s="169"/>
      <c r="I307" s="169"/>
      <c r="J307" s="169"/>
      <c r="K307" s="169"/>
      <c r="L307" s="155"/>
      <c r="M307" s="155"/>
      <c r="N307" s="155"/>
      <c r="O307" s="155"/>
      <c r="P307" s="155"/>
      <c r="Q307" s="155"/>
      <c r="R307" s="155"/>
      <c r="T307" s="157"/>
    </row>
    <row r="308" spans="1:20" s="156" customFormat="1" ht="16.5" customHeight="1" thickBot="1">
      <c r="A308" s="405"/>
      <c r="B308" s="406"/>
      <c r="C308" s="311" t="s">
        <v>34</v>
      </c>
      <c r="D308" s="312"/>
      <c r="E308" s="407"/>
      <c r="F308" s="314"/>
      <c r="G308" s="131">
        <f>SUBTOTAL(9,G300:G307)</f>
        <v>0</v>
      </c>
      <c r="H308" s="169"/>
      <c r="I308" s="169"/>
      <c r="J308" s="169"/>
      <c r="K308" s="169"/>
      <c r="L308" s="155"/>
      <c r="M308" s="155"/>
      <c r="N308" s="155"/>
      <c r="O308" s="155"/>
      <c r="P308" s="155"/>
      <c r="Q308" s="155"/>
      <c r="R308" s="155"/>
      <c r="T308" s="157"/>
    </row>
    <row r="309" spans="1:20" s="156" customFormat="1" ht="13.7" customHeight="1" thickBot="1">
      <c r="A309" s="408"/>
      <c r="B309" s="348"/>
      <c r="C309" s="318"/>
      <c r="D309" s="318"/>
      <c r="E309" s="409"/>
      <c r="F309" s="270"/>
      <c r="G309" s="271"/>
      <c r="H309" s="169"/>
      <c r="I309" s="169"/>
      <c r="J309" s="169"/>
      <c r="K309" s="169"/>
      <c r="L309" s="155"/>
      <c r="M309" s="155"/>
      <c r="N309" s="155"/>
      <c r="O309" s="155"/>
      <c r="P309" s="155"/>
      <c r="Q309" s="155"/>
      <c r="R309" s="155"/>
      <c r="T309" s="157"/>
    </row>
    <row r="310" spans="1:20" s="280" customFormat="1" ht="16.5" customHeight="1" thickBot="1">
      <c r="A310" s="272" t="s">
        <v>365</v>
      </c>
      <c r="B310" s="273"/>
      <c r="C310" s="274" t="s">
        <v>366</v>
      </c>
      <c r="D310" s="275"/>
      <c r="E310" s="276"/>
      <c r="F310" s="277"/>
      <c r="G310" s="278"/>
      <c r="H310" s="262"/>
      <c r="I310" s="262"/>
      <c r="J310" s="262"/>
      <c r="K310" s="262"/>
      <c r="L310" s="279"/>
      <c r="M310" s="279"/>
      <c r="N310" s="279"/>
      <c r="O310" s="279"/>
      <c r="P310" s="279"/>
      <c r="Q310" s="279"/>
      <c r="R310" s="279"/>
      <c r="T310" s="281"/>
    </row>
    <row r="311" spans="1:20" s="156" customFormat="1" ht="12" customHeight="1">
      <c r="A311" s="386"/>
      <c r="B311" s="387"/>
      <c r="C311" s="388"/>
      <c r="D311" s="389"/>
      <c r="E311" s="417"/>
      <c r="F311" s="418"/>
      <c r="G311" s="419"/>
      <c r="H311" s="169"/>
      <c r="I311" s="169"/>
      <c r="J311" s="169"/>
      <c r="K311" s="169"/>
      <c r="L311" s="155"/>
      <c r="M311" s="155"/>
      <c r="N311" s="155"/>
      <c r="O311" s="155"/>
      <c r="P311" s="155"/>
      <c r="Q311" s="155"/>
      <c r="R311" s="155"/>
      <c r="T311" s="157"/>
    </row>
    <row r="312" spans="1:20" s="328" customFormat="1" ht="24">
      <c r="A312" s="452" t="s">
        <v>367</v>
      </c>
      <c r="B312" s="688"/>
      <c r="C312" s="391" t="s">
        <v>428</v>
      </c>
      <c r="D312" s="422" t="s">
        <v>61</v>
      </c>
      <c r="E312" s="423">
        <v>1</v>
      </c>
      <c r="F312" s="424">
        <v>0</v>
      </c>
      <c r="G312" s="41">
        <f aca="true" t="shared" si="39" ref="G312:G313">$E312*F312</f>
        <v>0</v>
      </c>
      <c r="H312" s="351"/>
      <c r="I312" s="351"/>
      <c r="J312" s="351"/>
      <c r="K312" s="351"/>
      <c r="L312" s="327"/>
      <c r="M312" s="327"/>
      <c r="N312" s="327"/>
      <c r="O312" s="327"/>
      <c r="P312" s="327"/>
      <c r="Q312" s="327"/>
      <c r="R312" s="327"/>
      <c r="T312" s="329"/>
    </row>
    <row r="313" spans="1:20" s="328" customFormat="1" ht="16.5" customHeight="1">
      <c r="A313" s="452" t="s">
        <v>368</v>
      </c>
      <c r="B313" s="688"/>
      <c r="C313" s="391" t="s">
        <v>261</v>
      </c>
      <c r="D313" s="422" t="s">
        <v>61</v>
      </c>
      <c r="E313" s="423">
        <v>1</v>
      </c>
      <c r="F313" s="424">
        <v>0</v>
      </c>
      <c r="G313" s="41">
        <f t="shared" si="39"/>
        <v>0</v>
      </c>
      <c r="H313" s="351"/>
      <c r="I313" s="351"/>
      <c r="J313" s="351"/>
      <c r="K313" s="351"/>
      <c r="L313" s="327"/>
      <c r="M313" s="327"/>
      <c r="N313" s="327"/>
      <c r="O313" s="327"/>
      <c r="P313" s="327"/>
      <c r="Q313" s="327"/>
      <c r="R313" s="327"/>
      <c r="T313" s="329"/>
    </row>
    <row r="314" spans="1:20" s="328" customFormat="1" ht="16.5" customHeight="1">
      <c r="A314" s="452" t="s">
        <v>369</v>
      </c>
      <c r="B314" s="688"/>
      <c r="C314" s="391" t="s">
        <v>268</v>
      </c>
      <c r="D314" s="422" t="s">
        <v>61</v>
      </c>
      <c r="E314" s="423">
        <v>1</v>
      </c>
      <c r="F314" s="424">
        <v>0</v>
      </c>
      <c r="G314" s="41">
        <f aca="true" t="shared" si="40" ref="G314">$E314*F314</f>
        <v>0</v>
      </c>
      <c r="H314" s="351"/>
      <c r="I314" s="351"/>
      <c r="J314" s="351"/>
      <c r="K314" s="351"/>
      <c r="L314" s="327"/>
      <c r="M314" s="327"/>
      <c r="N314" s="327"/>
      <c r="O314" s="327"/>
      <c r="P314" s="327"/>
      <c r="Q314" s="327"/>
      <c r="R314" s="327"/>
      <c r="T314" s="329"/>
    </row>
    <row r="315" spans="1:20" s="328" customFormat="1" ht="16.5" customHeight="1">
      <c r="A315" s="452" t="s">
        <v>370</v>
      </c>
      <c r="B315" s="688"/>
      <c r="C315" s="391" t="s">
        <v>329</v>
      </c>
      <c r="D315" s="422" t="s">
        <v>61</v>
      </c>
      <c r="E315" s="423">
        <v>1</v>
      </c>
      <c r="F315" s="424">
        <v>0</v>
      </c>
      <c r="G315" s="41">
        <f aca="true" t="shared" si="41" ref="G315">$E315*F315</f>
        <v>0</v>
      </c>
      <c r="H315" s="351"/>
      <c r="I315" s="351"/>
      <c r="J315" s="351"/>
      <c r="K315" s="351"/>
      <c r="L315" s="327"/>
      <c r="M315" s="327"/>
      <c r="N315" s="327"/>
      <c r="O315" s="327"/>
      <c r="P315" s="327"/>
      <c r="Q315" s="327"/>
      <c r="R315" s="327"/>
      <c r="T315" s="329"/>
    </row>
    <row r="316" spans="1:20" s="328" customFormat="1" ht="16.5" customHeight="1">
      <c r="A316" s="689"/>
      <c r="B316" s="688"/>
      <c r="C316" s="391"/>
      <c r="D316" s="673"/>
      <c r="E316" s="674"/>
      <c r="F316" s="675"/>
      <c r="G316" s="41"/>
      <c r="H316" s="351"/>
      <c r="I316" s="351"/>
      <c r="J316" s="351"/>
      <c r="K316" s="351"/>
      <c r="L316" s="327"/>
      <c r="M316" s="327"/>
      <c r="N316" s="327"/>
      <c r="O316" s="327"/>
      <c r="P316" s="327"/>
      <c r="Q316" s="327"/>
      <c r="R316" s="327"/>
      <c r="T316" s="329"/>
    </row>
    <row r="317" spans="1:7" s="328" customFormat="1" ht="36">
      <c r="A317" s="452" t="s">
        <v>371</v>
      </c>
      <c r="B317" s="303"/>
      <c r="C317" s="391" t="s">
        <v>80</v>
      </c>
      <c r="D317" s="436"/>
      <c r="E317" s="415"/>
      <c r="F317" s="239"/>
      <c r="G317" s="235">
        <f>E317*F317</f>
        <v>0</v>
      </c>
    </row>
    <row r="318" spans="1:20" s="156" customFormat="1" ht="12" customHeight="1" thickBot="1">
      <c r="A318" s="250"/>
      <c r="B318" s="410"/>
      <c r="C318" s="306"/>
      <c r="D318" s="307"/>
      <c r="E318" s="411"/>
      <c r="F318" s="254"/>
      <c r="G318" s="255"/>
      <c r="H318" s="169"/>
      <c r="I318" s="169"/>
      <c r="J318" s="169"/>
      <c r="K318" s="169"/>
      <c r="L318" s="155"/>
      <c r="M318" s="155"/>
      <c r="N318" s="155"/>
      <c r="O318" s="155"/>
      <c r="P318" s="155"/>
      <c r="Q318" s="155"/>
      <c r="R318" s="155"/>
      <c r="T318" s="157"/>
    </row>
    <row r="319" spans="1:20" s="156" customFormat="1" ht="16.5" customHeight="1" thickBot="1">
      <c r="A319" s="405"/>
      <c r="B319" s="406"/>
      <c r="C319" s="311" t="s">
        <v>34</v>
      </c>
      <c r="D319" s="312"/>
      <c r="E319" s="407"/>
      <c r="F319" s="314"/>
      <c r="G319" s="131">
        <f>SUBTOTAL(9,G311:G318)</f>
        <v>0</v>
      </c>
      <c r="H319" s="169"/>
      <c r="I319" s="169"/>
      <c r="J319" s="169"/>
      <c r="K319" s="169"/>
      <c r="L319" s="155"/>
      <c r="M319" s="155"/>
      <c r="N319" s="155"/>
      <c r="O319" s="155"/>
      <c r="P319" s="155"/>
      <c r="Q319" s="155"/>
      <c r="R319" s="155"/>
      <c r="T319" s="157"/>
    </row>
    <row r="320" spans="1:20" s="156" customFormat="1" ht="13.7" customHeight="1" thickBot="1">
      <c r="A320" s="408"/>
      <c r="B320" s="348"/>
      <c r="C320" s="318"/>
      <c r="D320" s="318"/>
      <c r="E320" s="409"/>
      <c r="F320" s="270"/>
      <c r="G320" s="271"/>
      <c r="H320" s="169"/>
      <c r="I320" s="169"/>
      <c r="J320" s="169"/>
      <c r="K320" s="169"/>
      <c r="L320" s="155"/>
      <c r="M320" s="155"/>
      <c r="N320" s="155"/>
      <c r="O320" s="155"/>
      <c r="P320" s="155"/>
      <c r="Q320" s="155"/>
      <c r="R320" s="155"/>
      <c r="T320" s="157"/>
    </row>
    <row r="321" spans="1:20" s="444" customFormat="1" ht="30.75" customHeight="1" thickBot="1">
      <c r="A321" s="256"/>
      <c r="B321" s="437"/>
      <c r="C321" s="438" t="s">
        <v>81</v>
      </c>
      <c r="D321" s="438"/>
      <c r="E321" s="439"/>
      <c r="F321" s="440"/>
      <c r="G321" s="441">
        <f>SUBTOTAL(9,G41:G319)</f>
        <v>0</v>
      </c>
      <c r="H321" s="442"/>
      <c r="I321" s="442"/>
      <c r="J321" s="442"/>
      <c r="K321" s="442"/>
      <c r="L321" s="443"/>
      <c r="M321" s="443"/>
      <c r="N321" s="443"/>
      <c r="O321" s="443"/>
      <c r="P321" s="443"/>
      <c r="Q321" s="443"/>
      <c r="R321" s="443"/>
      <c r="T321" s="445"/>
    </row>
    <row r="322" ht="12.75">
      <c r="E322" s="448"/>
    </row>
    <row r="323" ht="12.75">
      <c r="E323" s="448"/>
    </row>
    <row r="324" ht="12.75">
      <c r="E324" s="448"/>
    </row>
    <row r="325" ht="12.75">
      <c r="E325" s="448"/>
    </row>
    <row r="326" ht="12.75">
      <c r="E326" s="448"/>
    </row>
    <row r="327" ht="12.75">
      <c r="E327" s="448"/>
    </row>
    <row r="328" ht="12.75">
      <c r="E328" s="448"/>
    </row>
    <row r="329" spans="1:59" s="449" customFormat="1" ht="12.75">
      <c r="A329" s="446"/>
      <c r="B329" s="447"/>
      <c r="C329" s="161"/>
      <c r="D329" s="161"/>
      <c r="E329" s="448"/>
      <c r="G329" s="162"/>
      <c r="H329" s="176"/>
      <c r="I329" s="176"/>
      <c r="J329" s="176"/>
      <c r="K329" s="176"/>
      <c r="L329" s="155"/>
      <c r="M329" s="155"/>
      <c r="N329" s="155"/>
      <c r="O329" s="155"/>
      <c r="P329" s="155"/>
      <c r="Q329" s="155"/>
      <c r="R329" s="155"/>
      <c r="S329" s="161"/>
      <c r="T329" s="162"/>
      <c r="U329" s="161"/>
      <c r="V329" s="161"/>
      <c r="W329" s="161"/>
      <c r="X329" s="161"/>
      <c r="Y329" s="161"/>
      <c r="Z329" s="161"/>
      <c r="AA329" s="161"/>
      <c r="AB329" s="161"/>
      <c r="AC329" s="161"/>
      <c r="AD329" s="161"/>
      <c r="AE329" s="161"/>
      <c r="AF329" s="161"/>
      <c r="AG329" s="161"/>
      <c r="AH329" s="161"/>
      <c r="AI329" s="161"/>
      <c r="AJ329" s="161"/>
      <c r="AK329" s="161"/>
      <c r="AL329" s="161"/>
      <c r="AM329" s="161"/>
      <c r="AN329" s="161"/>
      <c r="AO329" s="161"/>
      <c r="AP329" s="161"/>
      <c r="AQ329" s="161"/>
      <c r="AR329" s="161"/>
      <c r="AS329" s="161"/>
      <c r="AT329" s="161"/>
      <c r="AU329" s="161"/>
      <c r="AV329" s="161"/>
      <c r="AW329" s="161"/>
      <c r="AX329" s="161"/>
      <c r="AY329" s="161"/>
      <c r="AZ329" s="161"/>
      <c r="BA329" s="161"/>
      <c r="BB329" s="161"/>
      <c r="BC329" s="161"/>
      <c r="BD329" s="161"/>
      <c r="BE329" s="161"/>
      <c r="BF329" s="161"/>
      <c r="BG329" s="161"/>
    </row>
    <row r="330" spans="1:59" s="449" customFormat="1" ht="12.75">
      <c r="A330" s="446"/>
      <c r="B330" s="447"/>
      <c r="C330" s="161"/>
      <c r="D330" s="161"/>
      <c r="E330" s="448"/>
      <c r="G330" s="162"/>
      <c r="H330" s="176"/>
      <c r="I330" s="176"/>
      <c r="J330" s="176"/>
      <c r="K330" s="176"/>
      <c r="L330" s="155"/>
      <c r="M330" s="155"/>
      <c r="N330" s="155"/>
      <c r="O330" s="155"/>
      <c r="P330" s="155"/>
      <c r="Q330" s="155"/>
      <c r="R330" s="155"/>
      <c r="S330" s="161"/>
      <c r="T330" s="162"/>
      <c r="U330" s="161"/>
      <c r="V330" s="161"/>
      <c r="W330" s="161"/>
      <c r="X330" s="161"/>
      <c r="Y330" s="161"/>
      <c r="Z330" s="161"/>
      <c r="AA330" s="161"/>
      <c r="AB330" s="161"/>
      <c r="AC330" s="161"/>
      <c r="AD330" s="161"/>
      <c r="AE330" s="161"/>
      <c r="AF330" s="161"/>
      <c r="AG330" s="161"/>
      <c r="AH330" s="161"/>
      <c r="AI330" s="161"/>
      <c r="AJ330" s="161"/>
      <c r="AK330" s="161"/>
      <c r="AL330" s="161"/>
      <c r="AM330" s="161"/>
      <c r="AN330" s="161"/>
      <c r="AO330" s="161"/>
      <c r="AP330" s="161"/>
      <c r="AQ330" s="161"/>
      <c r="AR330" s="161"/>
      <c r="AS330" s="161"/>
      <c r="AT330" s="161"/>
      <c r="AU330" s="161"/>
      <c r="AV330" s="161"/>
      <c r="AW330" s="161"/>
      <c r="AX330" s="161"/>
      <c r="AY330" s="161"/>
      <c r="AZ330" s="161"/>
      <c r="BA330" s="161"/>
      <c r="BB330" s="161"/>
      <c r="BC330" s="161"/>
      <c r="BD330" s="161"/>
      <c r="BE330" s="161"/>
      <c r="BF330" s="161"/>
      <c r="BG330" s="161"/>
    </row>
    <row r="331" spans="1:59" s="449" customFormat="1" ht="12.75">
      <c r="A331" s="446"/>
      <c r="B331" s="447"/>
      <c r="C331" s="161"/>
      <c r="D331" s="161"/>
      <c r="E331" s="448"/>
      <c r="G331" s="162"/>
      <c r="H331" s="176"/>
      <c r="I331" s="176"/>
      <c r="J331" s="176"/>
      <c r="K331" s="176"/>
      <c r="L331" s="155"/>
      <c r="M331" s="155"/>
      <c r="N331" s="155"/>
      <c r="O331" s="155"/>
      <c r="P331" s="155"/>
      <c r="Q331" s="155"/>
      <c r="R331" s="155"/>
      <c r="S331" s="161"/>
      <c r="T331" s="162"/>
      <c r="U331" s="161"/>
      <c r="V331" s="161"/>
      <c r="W331" s="161"/>
      <c r="X331" s="161"/>
      <c r="Y331" s="161"/>
      <c r="Z331" s="161"/>
      <c r="AA331" s="161"/>
      <c r="AB331" s="161"/>
      <c r="AC331" s="161"/>
      <c r="AD331" s="161"/>
      <c r="AE331" s="161"/>
      <c r="AF331" s="161"/>
      <c r="AG331" s="161"/>
      <c r="AH331" s="161"/>
      <c r="AI331" s="161"/>
      <c r="AJ331" s="161"/>
      <c r="AK331" s="161"/>
      <c r="AL331" s="161"/>
      <c r="AM331" s="161"/>
      <c r="AN331" s="161"/>
      <c r="AO331" s="161"/>
      <c r="AP331" s="161"/>
      <c r="AQ331" s="161"/>
      <c r="AR331" s="161"/>
      <c r="AS331" s="161"/>
      <c r="AT331" s="161"/>
      <c r="AU331" s="161"/>
      <c r="AV331" s="161"/>
      <c r="AW331" s="161"/>
      <c r="AX331" s="161"/>
      <c r="AY331" s="161"/>
      <c r="AZ331" s="161"/>
      <c r="BA331" s="161"/>
      <c r="BB331" s="161"/>
      <c r="BC331" s="161"/>
      <c r="BD331" s="161"/>
      <c r="BE331" s="161"/>
      <c r="BF331" s="161"/>
      <c r="BG331" s="161"/>
    </row>
    <row r="332" spans="1:59" s="449" customFormat="1" ht="12.75">
      <c r="A332" s="446"/>
      <c r="B332" s="447"/>
      <c r="C332" s="161"/>
      <c r="D332" s="161"/>
      <c r="E332" s="448"/>
      <c r="G332" s="162"/>
      <c r="H332" s="176"/>
      <c r="I332" s="176"/>
      <c r="J332" s="176"/>
      <c r="K332" s="176"/>
      <c r="L332" s="155"/>
      <c r="M332" s="155"/>
      <c r="N332" s="155"/>
      <c r="O332" s="155"/>
      <c r="P332" s="155"/>
      <c r="Q332" s="155"/>
      <c r="R332" s="155"/>
      <c r="S332" s="161"/>
      <c r="T332" s="162"/>
      <c r="U332" s="161"/>
      <c r="V332" s="161"/>
      <c r="W332" s="161"/>
      <c r="X332" s="161"/>
      <c r="Y332" s="161"/>
      <c r="Z332" s="161"/>
      <c r="AA332" s="161"/>
      <c r="AB332" s="161"/>
      <c r="AC332" s="161"/>
      <c r="AD332" s="161"/>
      <c r="AE332" s="161"/>
      <c r="AF332" s="161"/>
      <c r="AG332" s="161"/>
      <c r="AH332" s="161"/>
      <c r="AI332" s="161"/>
      <c r="AJ332" s="161"/>
      <c r="AK332" s="161"/>
      <c r="AL332" s="161"/>
      <c r="AM332" s="161"/>
      <c r="AN332" s="161"/>
      <c r="AO332" s="161"/>
      <c r="AP332" s="161"/>
      <c r="AQ332" s="161"/>
      <c r="AR332" s="161"/>
      <c r="AS332" s="161"/>
      <c r="AT332" s="161"/>
      <c r="AU332" s="161"/>
      <c r="AV332" s="161"/>
      <c r="AW332" s="161"/>
      <c r="AX332" s="161"/>
      <c r="AY332" s="161"/>
      <c r="AZ332" s="161"/>
      <c r="BA332" s="161"/>
      <c r="BB332" s="161"/>
      <c r="BC332" s="161"/>
      <c r="BD332" s="161"/>
      <c r="BE332" s="161"/>
      <c r="BF332" s="161"/>
      <c r="BG332" s="161"/>
    </row>
    <row r="333" spans="1:59" s="449" customFormat="1" ht="12.75">
      <c r="A333" s="446"/>
      <c r="B333" s="447"/>
      <c r="C333" s="161"/>
      <c r="D333" s="161"/>
      <c r="E333" s="448"/>
      <c r="G333" s="162"/>
      <c r="H333" s="176"/>
      <c r="I333" s="176"/>
      <c r="J333" s="176"/>
      <c r="K333" s="176"/>
      <c r="L333" s="155"/>
      <c r="M333" s="155"/>
      <c r="N333" s="155"/>
      <c r="O333" s="155"/>
      <c r="P333" s="155"/>
      <c r="Q333" s="155"/>
      <c r="R333" s="155"/>
      <c r="S333" s="161"/>
      <c r="T333" s="162"/>
      <c r="U333" s="161"/>
      <c r="V333" s="161"/>
      <c r="W333" s="161"/>
      <c r="X333" s="161"/>
      <c r="Y333" s="161"/>
      <c r="Z333" s="161"/>
      <c r="AA333" s="161"/>
      <c r="AB333" s="161"/>
      <c r="AC333" s="161"/>
      <c r="AD333" s="161"/>
      <c r="AE333" s="161"/>
      <c r="AF333" s="161"/>
      <c r="AG333" s="161"/>
      <c r="AH333" s="161"/>
      <c r="AI333" s="161"/>
      <c r="AJ333" s="161"/>
      <c r="AK333" s="161"/>
      <c r="AL333" s="161"/>
      <c r="AM333" s="161"/>
      <c r="AN333" s="161"/>
      <c r="AO333" s="161"/>
      <c r="AP333" s="161"/>
      <c r="AQ333" s="161"/>
      <c r="AR333" s="161"/>
      <c r="AS333" s="161"/>
      <c r="AT333" s="161"/>
      <c r="AU333" s="161"/>
      <c r="AV333" s="161"/>
      <c r="AW333" s="161"/>
      <c r="AX333" s="161"/>
      <c r="AY333" s="161"/>
      <c r="AZ333" s="161"/>
      <c r="BA333" s="161"/>
      <c r="BB333" s="161"/>
      <c r="BC333" s="161"/>
      <c r="BD333" s="161"/>
      <c r="BE333" s="161"/>
      <c r="BF333" s="161"/>
      <c r="BG333" s="161"/>
    </row>
    <row r="334" spans="1:59" s="449" customFormat="1" ht="12.75">
      <c r="A334" s="446"/>
      <c r="B334" s="447"/>
      <c r="C334" s="161"/>
      <c r="D334" s="161"/>
      <c r="E334" s="448"/>
      <c r="G334" s="162"/>
      <c r="H334" s="176"/>
      <c r="I334" s="176"/>
      <c r="J334" s="176"/>
      <c r="K334" s="176"/>
      <c r="L334" s="155"/>
      <c r="M334" s="155"/>
      <c r="N334" s="155"/>
      <c r="O334" s="155"/>
      <c r="P334" s="155"/>
      <c r="Q334" s="155"/>
      <c r="R334" s="155"/>
      <c r="S334" s="161"/>
      <c r="T334" s="162"/>
      <c r="U334" s="161"/>
      <c r="V334" s="161"/>
      <c r="W334" s="161"/>
      <c r="X334" s="161"/>
      <c r="Y334" s="161"/>
      <c r="Z334" s="161"/>
      <c r="AA334" s="161"/>
      <c r="AB334" s="161"/>
      <c r="AC334" s="161"/>
      <c r="AD334" s="161"/>
      <c r="AE334" s="161"/>
      <c r="AF334" s="161"/>
      <c r="AG334" s="161"/>
      <c r="AH334" s="161"/>
      <c r="AI334" s="161"/>
      <c r="AJ334" s="161"/>
      <c r="AK334" s="161"/>
      <c r="AL334" s="161"/>
      <c r="AM334" s="161"/>
      <c r="AN334" s="161"/>
      <c r="AO334" s="161"/>
      <c r="AP334" s="161"/>
      <c r="AQ334" s="161"/>
      <c r="AR334" s="161"/>
      <c r="AS334" s="161"/>
      <c r="AT334" s="161"/>
      <c r="AU334" s="161"/>
      <c r="AV334" s="161"/>
      <c r="AW334" s="161"/>
      <c r="AX334" s="161"/>
      <c r="AY334" s="161"/>
      <c r="AZ334" s="161"/>
      <c r="BA334" s="161"/>
      <c r="BB334" s="161"/>
      <c r="BC334" s="161"/>
      <c r="BD334" s="161"/>
      <c r="BE334" s="161"/>
      <c r="BF334" s="161"/>
      <c r="BG334" s="161"/>
    </row>
    <row r="335" spans="1:59" s="449" customFormat="1" ht="12.75">
      <c r="A335" s="446"/>
      <c r="B335" s="447"/>
      <c r="C335" s="161"/>
      <c r="D335" s="161"/>
      <c r="E335" s="448"/>
      <c r="G335" s="162"/>
      <c r="H335" s="176"/>
      <c r="I335" s="176"/>
      <c r="J335" s="176"/>
      <c r="K335" s="176"/>
      <c r="L335" s="155"/>
      <c r="M335" s="155"/>
      <c r="N335" s="155"/>
      <c r="O335" s="155"/>
      <c r="P335" s="155"/>
      <c r="Q335" s="155"/>
      <c r="R335" s="155"/>
      <c r="S335" s="161"/>
      <c r="T335" s="162"/>
      <c r="U335" s="161"/>
      <c r="V335" s="161"/>
      <c r="W335" s="161"/>
      <c r="X335" s="161"/>
      <c r="Y335" s="161"/>
      <c r="Z335" s="161"/>
      <c r="AA335" s="161"/>
      <c r="AB335" s="161"/>
      <c r="AC335" s="161"/>
      <c r="AD335" s="161"/>
      <c r="AE335" s="161"/>
      <c r="AF335" s="161"/>
      <c r="AG335" s="161"/>
      <c r="AH335" s="161"/>
      <c r="AI335" s="161"/>
      <c r="AJ335" s="161"/>
      <c r="AK335" s="161"/>
      <c r="AL335" s="161"/>
      <c r="AM335" s="161"/>
      <c r="AN335" s="161"/>
      <c r="AO335" s="161"/>
      <c r="AP335" s="161"/>
      <c r="AQ335" s="161"/>
      <c r="AR335" s="161"/>
      <c r="AS335" s="161"/>
      <c r="AT335" s="161"/>
      <c r="AU335" s="161"/>
      <c r="AV335" s="161"/>
      <c r="AW335" s="161"/>
      <c r="AX335" s="161"/>
      <c r="AY335" s="161"/>
      <c r="AZ335" s="161"/>
      <c r="BA335" s="161"/>
      <c r="BB335" s="161"/>
      <c r="BC335" s="161"/>
      <c r="BD335" s="161"/>
      <c r="BE335" s="161"/>
      <c r="BF335" s="161"/>
      <c r="BG335" s="161"/>
    </row>
    <row r="336" spans="1:59" s="449" customFormat="1" ht="12.75">
      <c r="A336" s="446"/>
      <c r="B336" s="447"/>
      <c r="C336" s="161"/>
      <c r="D336" s="161"/>
      <c r="E336" s="448"/>
      <c r="G336" s="162"/>
      <c r="H336" s="176"/>
      <c r="I336" s="176"/>
      <c r="J336" s="176"/>
      <c r="K336" s="176"/>
      <c r="L336" s="155"/>
      <c r="M336" s="155"/>
      <c r="N336" s="155"/>
      <c r="O336" s="155"/>
      <c r="P336" s="155"/>
      <c r="Q336" s="155"/>
      <c r="R336" s="155"/>
      <c r="S336" s="161"/>
      <c r="T336" s="162"/>
      <c r="U336" s="161"/>
      <c r="V336" s="161"/>
      <c r="W336" s="161"/>
      <c r="X336" s="161"/>
      <c r="Y336" s="161"/>
      <c r="Z336" s="161"/>
      <c r="AA336" s="161"/>
      <c r="AB336" s="161"/>
      <c r="AC336" s="161"/>
      <c r="AD336" s="161"/>
      <c r="AE336" s="161"/>
      <c r="AF336" s="161"/>
      <c r="AG336" s="161"/>
      <c r="AH336" s="161"/>
      <c r="AI336" s="161"/>
      <c r="AJ336" s="161"/>
      <c r="AK336" s="161"/>
      <c r="AL336" s="161"/>
      <c r="AM336" s="161"/>
      <c r="AN336" s="161"/>
      <c r="AO336" s="161"/>
      <c r="AP336" s="161"/>
      <c r="AQ336" s="161"/>
      <c r="AR336" s="161"/>
      <c r="AS336" s="161"/>
      <c r="AT336" s="161"/>
      <c r="AU336" s="161"/>
      <c r="AV336" s="161"/>
      <c r="AW336" s="161"/>
      <c r="AX336" s="161"/>
      <c r="AY336" s="161"/>
      <c r="AZ336" s="161"/>
      <c r="BA336" s="161"/>
      <c r="BB336" s="161"/>
      <c r="BC336" s="161"/>
      <c r="BD336" s="161"/>
      <c r="BE336" s="161"/>
      <c r="BF336" s="161"/>
      <c r="BG336" s="161"/>
    </row>
    <row r="337" spans="1:59" s="449" customFormat="1" ht="12.75">
      <c r="A337" s="446"/>
      <c r="B337" s="447"/>
      <c r="C337" s="161"/>
      <c r="D337" s="161"/>
      <c r="E337" s="448"/>
      <c r="G337" s="162"/>
      <c r="H337" s="176"/>
      <c r="I337" s="176"/>
      <c r="J337" s="176"/>
      <c r="K337" s="176"/>
      <c r="L337" s="155"/>
      <c r="M337" s="155"/>
      <c r="N337" s="155"/>
      <c r="O337" s="155"/>
      <c r="P337" s="155"/>
      <c r="Q337" s="155"/>
      <c r="R337" s="155"/>
      <c r="S337" s="161"/>
      <c r="T337" s="162"/>
      <c r="U337" s="161"/>
      <c r="V337" s="161"/>
      <c r="W337" s="161"/>
      <c r="X337" s="161"/>
      <c r="Y337" s="161"/>
      <c r="Z337" s="161"/>
      <c r="AA337" s="161"/>
      <c r="AB337" s="161"/>
      <c r="AC337" s="161"/>
      <c r="AD337" s="161"/>
      <c r="AE337" s="161"/>
      <c r="AF337" s="161"/>
      <c r="AG337" s="161"/>
      <c r="AH337" s="161"/>
      <c r="AI337" s="161"/>
      <c r="AJ337" s="161"/>
      <c r="AK337" s="161"/>
      <c r="AL337" s="161"/>
      <c r="AM337" s="161"/>
      <c r="AN337" s="161"/>
      <c r="AO337" s="161"/>
      <c r="AP337" s="161"/>
      <c r="AQ337" s="161"/>
      <c r="AR337" s="161"/>
      <c r="AS337" s="161"/>
      <c r="AT337" s="161"/>
      <c r="AU337" s="161"/>
      <c r="AV337" s="161"/>
      <c r="AW337" s="161"/>
      <c r="AX337" s="161"/>
      <c r="AY337" s="161"/>
      <c r="AZ337" s="161"/>
      <c r="BA337" s="161"/>
      <c r="BB337" s="161"/>
      <c r="BC337" s="161"/>
      <c r="BD337" s="161"/>
      <c r="BE337" s="161"/>
      <c r="BF337" s="161"/>
      <c r="BG337" s="161"/>
    </row>
    <row r="338" spans="1:59" s="449" customFormat="1" ht="12.75">
      <c r="A338" s="446"/>
      <c r="B338" s="447"/>
      <c r="C338" s="161"/>
      <c r="D338" s="161"/>
      <c r="E338" s="448"/>
      <c r="G338" s="162"/>
      <c r="H338" s="176"/>
      <c r="I338" s="176"/>
      <c r="J338" s="176"/>
      <c r="K338" s="176"/>
      <c r="L338" s="155"/>
      <c r="M338" s="155"/>
      <c r="N338" s="155"/>
      <c r="O338" s="155"/>
      <c r="P338" s="155"/>
      <c r="Q338" s="155"/>
      <c r="R338" s="155"/>
      <c r="S338" s="161"/>
      <c r="T338" s="162"/>
      <c r="U338" s="161"/>
      <c r="V338" s="161"/>
      <c r="W338" s="161"/>
      <c r="X338" s="161"/>
      <c r="Y338" s="161"/>
      <c r="Z338" s="161"/>
      <c r="AA338" s="161"/>
      <c r="AB338" s="161"/>
      <c r="AC338" s="161"/>
      <c r="AD338" s="161"/>
      <c r="AE338" s="161"/>
      <c r="AF338" s="161"/>
      <c r="AG338" s="161"/>
      <c r="AH338" s="161"/>
      <c r="AI338" s="161"/>
      <c r="AJ338" s="161"/>
      <c r="AK338" s="161"/>
      <c r="AL338" s="161"/>
      <c r="AM338" s="161"/>
      <c r="AN338" s="161"/>
      <c r="AO338" s="161"/>
      <c r="AP338" s="161"/>
      <c r="AQ338" s="161"/>
      <c r="AR338" s="161"/>
      <c r="AS338" s="161"/>
      <c r="AT338" s="161"/>
      <c r="AU338" s="161"/>
      <c r="AV338" s="161"/>
      <c r="AW338" s="161"/>
      <c r="AX338" s="161"/>
      <c r="AY338" s="161"/>
      <c r="AZ338" s="161"/>
      <c r="BA338" s="161"/>
      <c r="BB338" s="161"/>
      <c r="BC338" s="161"/>
      <c r="BD338" s="161"/>
      <c r="BE338" s="161"/>
      <c r="BF338" s="161"/>
      <c r="BG338" s="161"/>
    </row>
    <row r="339" spans="1:59" s="449" customFormat="1" ht="12.75">
      <c r="A339" s="446"/>
      <c r="B339" s="447"/>
      <c r="C339" s="161"/>
      <c r="D339" s="161"/>
      <c r="E339" s="448"/>
      <c r="G339" s="162"/>
      <c r="H339" s="176"/>
      <c r="I339" s="176"/>
      <c r="J339" s="176"/>
      <c r="K339" s="176"/>
      <c r="L339" s="155"/>
      <c r="M339" s="155"/>
      <c r="N339" s="155"/>
      <c r="O339" s="155"/>
      <c r="P339" s="155"/>
      <c r="Q339" s="155"/>
      <c r="R339" s="155"/>
      <c r="S339" s="161"/>
      <c r="T339" s="162"/>
      <c r="U339" s="161"/>
      <c r="V339" s="161"/>
      <c r="W339" s="161"/>
      <c r="X339" s="161"/>
      <c r="Y339" s="161"/>
      <c r="Z339" s="161"/>
      <c r="AA339" s="161"/>
      <c r="AB339" s="161"/>
      <c r="AC339" s="161"/>
      <c r="AD339" s="161"/>
      <c r="AE339" s="161"/>
      <c r="AF339" s="161"/>
      <c r="AG339" s="161"/>
      <c r="AH339" s="161"/>
      <c r="AI339" s="161"/>
      <c r="AJ339" s="161"/>
      <c r="AK339" s="161"/>
      <c r="AL339" s="161"/>
      <c r="AM339" s="161"/>
      <c r="AN339" s="161"/>
      <c r="AO339" s="161"/>
      <c r="AP339" s="161"/>
      <c r="AQ339" s="161"/>
      <c r="AR339" s="161"/>
      <c r="AS339" s="161"/>
      <c r="AT339" s="161"/>
      <c r="AU339" s="161"/>
      <c r="AV339" s="161"/>
      <c r="AW339" s="161"/>
      <c r="AX339" s="161"/>
      <c r="AY339" s="161"/>
      <c r="AZ339" s="161"/>
      <c r="BA339" s="161"/>
      <c r="BB339" s="161"/>
      <c r="BC339" s="161"/>
      <c r="BD339" s="161"/>
      <c r="BE339" s="161"/>
      <c r="BF339" s="161"/>
      <c r="BG339" s="161"/>
    </row>
    <row r="340" spans="1:59" s="449" customFormat="1" ht="12.75">
      <c r="A340" s="446"/>
      <c r="B340" s="447"/>
      <c r="C340" s="161"/>
      <c r="D340" s="161"/>
      <c r="E340" s="448"/>
      <c r="G340" s="162"/>
      <c r="H340" s="176"/>
      <c r="I340" s="176"/>
      <c r="J340" s="176"/>
      <c r="K340" s="176"/>
      <c r="L340" s="155"/>
      <c r="M340" s="155"/>
      <c r="N340" s="155"/>
      <c r="O340" s="155"/>
      <c r="P340" s="155"/>
      <c r="Q340" s="155"/>
      <c r="R340" s="155"/>
      <c r="S340" s="161"/>
      <c r="T340" s="162"/>
      <c r="U340" s="161"/>
      <c r="V340" s="161"/>
      <c r="W340" s="161"/>
      <c r="X340" s="161"/>
      <c r="Y340" s="161"/>
      <c r="Z340" s="161"/>
      <c r="AA340" s="161"/>
      <c r="AB340" s="161"/>
      <c r="AC340" s="161"/>
      <c r="AD340" s="161"/>
      <c r="AE340" s="161"/>
      <c r="AF340" s="161"/>
      <c r="AG340" s="161"/>
      <c r="AH340" s="161"/>
      <c r="AI340" s="161"/>
      <c r="AJ340" s="161"/>
      <c r="AK340" s="161"/>
      <c r="AL340" s="161"/>
      <c r="AM340" s="161"/>
      <c r="AN340" s="161"/>
      <c r="AO340" s="161"/>
      <c r="AP340" s="161"/>
      <c r="AQ340" s="161"/>
      <c r="AR340" s="161"/>
      <c r="AS340" s="161"/>
      <c r="AT340" s="161"/>
      <c r="AU340" s="161"/>
      <c r="AV340" s="161"/>
      <c r="AW340" s="161"/>
      <c r="AX340" s="161"/>
      <c r="AY340" s="161"/>
      <c r="AZ340" s="161"/>
      <c r="BA340" s="161"/>
      <c r="BB340" s="161"/>
      <c r="BC340" s="161"/>
      <c r="BD340" s="161"/>
      <c r="BE340" s="161"/>
      <c r="BF340" s="161"/>
      <c r="BG340" s="161"/>
    </row>
    <row r="341" spans="1:59" s="449" customFormat="1" ht="12.75">
      <c r="A341" s="446"/>
      <c r="B341" s="447"/>
      <c r="C341" s="161"/>
      <c r="D341" s="161"/>
      <c r="E341" s="448"/>
      <c r="G341" s="162"/>
      <c r="H341" s="176"/>
      <c r="I341" s="176"/>
      <c r="J341" s="176"/>
      <c r="K341" s="176"/>
      <c r="L341" s="155"/>
      <c r="M341" s="155"/>
      <c r="N341" s="155"/>
      <c r="O341" s="155"/>
      <c r="P341" s="155"/>
      <c r="Q341" s="155"/>
      <c r="R341" s="155"/>
      <c r="S341" s="161"/>
      <c r="T341" s="162"/>
      <c r="U341" s="161"/>
      <c r="V341" s="161"/>
      <c r="W341" s="161"/>
      <c r="X341" s="161"/>
      <c r="Y341" s="161"/>
      <c r="Z341" s="161"/>
      <c r="AA341" s="161"/>
      <c r="AB341" s="161"/>
      <c r="AC341" s="161"/>
      <c r="AD341" s="161"/>
      <c r="AE341" s="161"/>
      <c r="AF341" s="161"/>
      <c r="AG341" s="161"/>
      <c r="AH341" s="161"/>
      <c r="AI341" s="161"/>
      <c r="AJ341" s="161"/>
      <c r="AK341" s="161"/>
      <c r="AL341" s="161"/>
      <c r="AM341" s="161"/>
      <c r="AN341" s="161"/>
      <c r="AO341" s="161"/>
      <c r="AP341" s="161"/>
      <c r="AQ341" s="161"/>
      <c r="AR341" s="161"/>
      <c r="AS341" s="161"/>
      <c r="AT341" s="161"/>
      <c r="AU341" s="161"/>
      <c r="AV341" s="161"/>
      <c r="AW341" s="161"/>
      <c r="AX341" s="161"/>
      <c r="AY341" s="161"/>
      <c r="AZ341" s="161"/>
      <c r="BA341" s="161"/>
      <c r="BB341" s="161"/>
      <c r="BC341" s="161"/>
      <c r="BD341" s="161"/>
      <c r="BE341" s="161"/>
      <c r="BF341" s="161"/>
      <c r="BG341" s="161"/>
    </row>
    <row r="342" spans="1:59" s="449" customFormat="1" ht="12.75">
      <c r="A342" s="446"/>
      <c r="B342" s="447"/>
      <c r="C342" s="161"/>
      <c r="D342" s="161"/>
      <c r="E342" s="448"/>
      <c r="G342" s="162"/>
      <c r="H342" s="176"/>
      <c r="I342" s="176"/>
      <c r="J342" s="176"/>
      <c r="K342" s="176"/>
      <c r="L342" s="155"/>
      <c r="M342" s="155"/>
      <c r="N342" s="155"/>
      <c r="O342" s="155"/>
      <c r="P342" s="155"/>
      <c r="Q342" s="155"/>
      <c r="R342" s="155"/>
      <c r="S342" s="161"/>
      <c r="T342" s="162"/>
      <c r="U342" s="161"/>
      <c r="V342" s="161"/>
      <c r="W342" s="161"/>
      <c r="X342" s="161"/>
      <c r="Y342" s="161"/>
      <c r="Z342" s="161"/>
      <c r="AA342" s="161"/>
      <c r="AB342" s="161"/>
      <c r="AC342" s="161"/>
      <c r="AD342" s="161"/>
      <c r="AE342" s="161"/>
      <c r="AF342" s="161"/>
      <c r="AG342" s="161"/>
      <c r="AH342" s="161"/>
      <c r="AI342" s="161"/>
      <c r="AJ342" s="161"/>
      <c r="AK342" s="161"/>
      <c r="AL342" s="161"/>
      <c r="AM342" s="161"/>
      <c r="AN342" s="161"/>
      <c r="AO342" s="161"/>
      <c r="AP342" s="161"/>
      <c r="AQ342" s="161"/>
      <c r="AR342" s="161"/>
      <c r="AS342" s="161"/>
      <c r="AT342" s="161"/>
      <c r="AU342" s="161"/>
      <c r="AV342" s="161"/>
      <c r="AW342" s="161"/>
      <c r="AX342" s="161"/>
      <c r="AY342" s="161"/>
      <c r="AZ342" s="161"/>
      <c r="BA342" s="161"/>
      <c r="BB342" s="161"/>
      <c r="BC342" s="161"/>
      <c r="BD342" s="161"/>
      <c r="BE342" s="161"/>
      <c r="BF342" s="161"/>
      <c r="BG342" s="161"/>
    </row>
    <row r="343" spans="1:59" s="449" customFormat="1" ht="12.75">
      <c r="A343" s="446"/>
      <c r="B343" s="447"/>
      <c r="C343" s="161"/>
      <c r="D343" s="161"/>
      <c r="E343" s="448"/>
      <c r="G343" s="162"/>
      <c r="H343" s="176"/>
      <c r="I343" s="176"/>
      <c r="J343" s="176"/>
      <c r="K343" s="176"/>
      <c r="L343" s="155"/>
      <c r="M343" s="155"/>
      <c r="N343" s="155"/>
      <c r="O343" s="155"/>
      <c r="P343" s="155"/>
      <c r="Q343" s="155"/>
      <c r="R343" s="155"/>
      <c r="S343" s="161"/>
      <c r="T343" s="162"/>
      <c r="U343" s="161"/>
      <c r="V343" s="161"/>
      <c r="W343" s="161"/>
      <c r="X343" s="161"/>
      <c r="Y343" s="161"/>
      <c r="Z343" s="161"/>
      <c r="AA343" s="161"/>
      <c r="AB343" s="161"/>
      <c r="AC343" s="161"/>
      <c r="AD343" s="161"/>
      <c r="AE343" s="161"/>
      <c r="AF343" s="161"/>
      <c r="AG343" s="161"/>
      <c r="AH343" s="161"/>
      <c r="AI343" s="161"/>
      <c r="AJ343" s="161"/>
      <c r="AK343" s="161"/>
      <c r="AL343" s="161"/>
      <c r="AM343" s="161"/>
      <c r="AN343" s="161"/>
      <c r="AO343" s="161"/>
      <c r="AP343" s="161"/>
      <c r="AQ343" s="161"/>
      <c r="AR343" s="161"/>
      <c r="AS343" s="161"/>
      <c r="AT343" s="161"/>
      <c r="AU343" s="161"/>
      <c r="AV343" s="161"/>
      <c r="AW343" s="161"/>
      <c r="AX343" s="161"/>
      <c r="AY343" s="161"/>
      <c r="AZ343" s="161"/>
      <c r="BA343" s="161"/>
      <c r="BB343" s="161"/>
      <c r="BC343" s="161"/>
      <c r="BD343" s="161"/>
      <c r="BE343" s="161"/>
      <c r="BF343" s="161"/>
      <c r="BG343" s="161"/>
    </row>
    <row r="344" spans="1:59" s="449" customFormat="1" ht="12.75">
      <c r="A344" s="446"/>
      <c r="B344" s="447"/>
      <c r="C344" s="161"/>
      <c r="D344" s="161"/>
      <c r="E344" s="448"/>
      <c r="G344" s="162"/>
      <c r="H344" s="176"/>
      <c r="I344" s="176"/>
      <c r="J344" s="176"/>
      <c r="K344" s="176"/>
      <c r="L344" s="155"/>
      <c r="M344" s="155"/>
      <c r="N344" s="155"/>
      <c r="O344" s="155"/>
      <c r="P344" s="155"/>
      <c r="Q344" s="155"/>
      <c r="R344" s="155"/>
      <c r="S344" s="161"/>
      <c r="T344" s="162"/>
      <c r="U344" s="161"/>
      <c r="V344" s="161"/>
      <c r="W344" s="161"/>
      <c r="X344" s="161"/>
      <c r="Y344" s="161"/>
      <c r="Z344" s="161"/>
      <c r="AA344" s="161"/>
      <c r="AB344" s="161"/>
      <c r="AC344" s="161"/>
      <c r="AD344" s="161"/>
      <c r="AE344" s="161"/>
      <c r="AF344" s="161"/>
      <c r="AG344" s="161"/>
      <c r="AH344" s="161"/>
      <c r="AI344" s="161"/>
      <c r="AJ344" s="161"/>
      <c r="AK344" s="161"/>
      <c r="AL344" s="161"/>
      <c r="AM344" s="161"/>
      <c r="AN344" s="161"/>
      <c r="AO344" s="161"/>
      <c r="AP344" s="161"/>
      <c r="AQ344" s="161"/>
      <c r="AR344" s="161"/>
      <c r="AS344" s="161"/>
      <c r="AT344" s="161"/>
      <c r="AU344" s="161"/>
      <c r="AV344" s="161"/>
      <c r="AW344" s="161"/>
      <c r="AX344" s="161"/>
      <c r="AY344" s="161"/>
      <c r="AZ344" s="161"/>
      <c r="BA344" s="161"/>
      <c r="BB344" s="161"/>
      <c r="BC344" s="161"/>
      <c r="BD344" s="161"/>
      <c r="BE344" s="161"/>
      <c r="BF344" s="161"/>
      <c r="BG344" s="161"/>
    </row>
    <row r="345" spans="1:59" s="449" customFormat="1" ht="12.75">
      <c r="A345" s="446"/>
      <c r="B345" s="447"/>
      <c r="C345" s="161"/>
      <c r="D345" s="161"/>
      <c r="E345" s="448"/>
      <c r="G345" s="162"/>
      <c r="H345" s="176"/>
      <c r="I345" s="176"/>
      <c r="J345" s="176"/>
      <c r="K345" s="176"/>
      <c r="L345" s="155"/>
      <c r="M345" s="155"/>
      <c r="N345" s="155"/>
      <c r="O345" s="155"/>
      <c r="P345" s="155"/>
      <c r="Q345" s="155"/>
      <c r="R345" s="155"/>
      <c r="S345" s="161"/>
      <c r="T345" s="162"/>
      <c r="U345" s="161"/>
      <c r="V345" s="161"/>
      <c r="W345" s="161"/>
      <c r="X345" s="161"/>
      <c r="Y345" s="161"/>
      <c r="Z345" s="161"/>
      <c r="AA345" s="161"/>
      <c r="AB345" s="161"/>
      <c r="AC345" s="161"/>
      <c r="AD345" s="161"/>
      <c r="AE345" s="161"/>
      <c r="AF345" s="161"/>
      <c r="AG345" s="161"/>
      <c r="AH345" s="161"/>
      <c r="AI345" s="161"/>
      <c r="AJ345" s="161"/>
      <c r="AK345" s="161"/>
      <c r="AL345" s="161"/>
      <c r="AM345" s="161"/>
      <c r="AN345" s="161"/>
      <c r="AO345" s="161"/>
      <c r="AP345" s="161"/>
      <c r="AQ345" s="161"/>
      <c r="AR345" s="161"/>
      <c r="AS345" s="161"/>
      <c r="AT345" s="161"/>
      <c r="AU345" s="161"/>
      <c r="AV345" s="161"/>
      <c r="AW345" s="161"/>
      <c r="AX345" s="161"/>
      <c r="AY345" s="161"/>
      <c r="AZ345" s="161"/>
      <c r="BA345" s="161"/>
      <c r="BB345" s="161"/>
      <c r="BC345" s="161"/>
      <c r="BD345" s="161"/>
      <c r="BE345" s="161"/>
      <c r="BF345" s="161"/>
      <c r="BG345" s="161"/>
    </row>
    <row r="346" spans="1:59" s="449" customFormat="1" ht="12.75">
      <c r="A346" s="446"/>
      <c r="B346" s="447"/>
      <c r="C346" s="161"/>
      <c r="D346" s="161"/>
      <c r="E346" s="448"/>
      <c r="G346" s="162"/>
      <c r="H346" s="176"/>
      <c r="I346" s="176"/>
      <c r="J346" s="176"/>
      <c r="K346" s="176"/>
      <c r="L346" s="155"/>
      <c r="M346" s="155"/>
      <c r="N346" s="155"/>
      <c r="O346" s="155"/>
      <c r="P346" s="155"/>
      <c r="Q346" s="155"/>
      <c r="R346" s="155"/>
      <c r="S346" s="161"/>
      <c r="T346" s="162"/>
      <c r="U346" s="161"/>
      <c r="V346" s="161"/>
      <c r="W346" s="161"/>
      <c r="X346" s="161"/>
      <c r="Y346" s="161"/>
      <c r="Z346" s="161"/>
      <c r="AA346" s="161"/>
      <c r="AB346" s="161"/>
      <c r="AC346" s="161"/>
      <c r="AD346" s="161"/>
      <c r="AE346" s="161"/>
      <c r="AF346" s="161"/>
      <c r="AG346" s="161"/>
      <c r="AH346" s="161"/>
      <c r="AI346" s="161"/>
      <c r="AJ346" s="161"/>
      <c r="AK346" s="161"/>
      <c r="AL346" s="161"/>
      <c r="AM346" s="161"/>
      <c r="AN346" s="161"/>
      <c r="AO346" s="161"/>
      <c r="AP346" s="161"/>
      <c r="AQ346" s="161"/>
      <c r="AR346" s="161"/>
      <c r="AS346" s="161"/>
      <c r="AT346" s="161"/>
      <c r="AU346" s="161"/>
      <c r="AV346" s="161"/>
      <c r="AW346" s="161"/>
      <c r="AX346" s="161"/>
      <c r="AY346" s="161"/>
      <c r="AZ346" s="161"/>
      <c r="BA346" s="161"/>
      <c r="BB346" s="161"/>
      <c r="BC346" s="161"/>
      <c r="BD346" s="161"/>
      <c r="BE346" s="161"/>
      <c r="BF346" s="161"/>
      <c r="BG346" s="161"/>
    </row>
    <row r="347" spans="1:59" s="449" customFormat="1" ht="12.75">
      <c r="A347" s="446"/>
      <c r="B347" s="447"/>
      <c r="C347" s="161"/>
      <c r="D347" s="161"/>
      <c r="E347" s="448"/>
      <c r="G347" s="162"/>
      <c r="H347" s="176"/>
      <c r="I347" s="176"/>
      <c r="J347" s="176"/>
      <c r="K347" s="176"/>
      <c r="L347" s="155"/>
      <c r="M347" s="155"/>
      <c r="N347" s="155"/>
      <c r="O347" s="155"/>
      <c r="P347" s="155"/>
      <c r="Q347" s="155"/>
      <c r="R347" s="155"/>
      <c r="S347" s="161"/>
      <c r="T347" s="162"/>
      <c r="U347" s="161"/>
      <c r="V347" s="161"/>
      <c r="W347" s="161"/>
      <c r="X347" s="161"/>
      <c r="Y347" s="161"/>
      <c r="Z347" s="161"/>
      <c r="AA347" s="161"/>
      <c r="AB347" s="161"/>
      <c r="AC347" s="161"/>
      <c r="AD347" s="161"/>
      <c r="AE347" s="161"/>
      <c r="AF347" s="161"/>
      <c r="AG347" s="161"/>
      <c r="AH347" s="161"/>
      <c r="AI347" s="161"/>
      <c r="AJ347" s="161"/>
      <c r="AK347" s="161"/>
      <c r="AL347" s="161"/>
      <c r="AM347" s="161"/>
      <c r="AN347" s="161"/>
      <c r="AO347" s="161"/>
      <c r="AP347" s="161"/>
      <c r="AQ347" s="161"/>
      <c r="AR347" s="161"/>
      <c r="AS347" s="161"/>
      <c r="AT347" s="161"/>
      <c r="AU347" s="161"/>
      <c r="AV347" s="161"/>
      <c r="AW347" s="161"/>
      <c r="AX347" s="161"/>
      <c r="AY347" s="161"/>
      <c r="AZ347" s="161"/>
      <c r="BA347" s="161"/>
      <c r="BB347" s="161"/>
      <c r="BC347" s="161"/>
      <c r="BD347" s="161"/>
      <c r="BE347" s="161"/>
      <c r="BF347" s="161"/>
      <c r="BG347" s="161"/>
    </row>
    <row r="348" spans="1:59" s="449" customFormat="1" ht="12.75">
      <c r="A348" s="446"/>
      <c r="B348" s="447"/>
      <c r="C348" s="161"/>
      <c r="D348" s="161"/>
      <c r="E348" s="448"/>
      <c r="G348" s="162"/>
      <c r="H348" s="176"/>
      <c r="I348" s="176"/>
      <c r="J348" s="176"/>
      <c r="K348" s="176"/>
      <c r="L348" s="155"/>
      <c r="M348" s="155"/>
      <c r="N348" s="155"/>
      <c r="O348" s="155"/>
      <c r="P348" s="155"/>
      <c r="Q348" s="155"/>
      <c r="R348" s="155"/>
      <c r="S348" s="161"/>
      <c r="T348" s="162"/>
      <c r="U348" s="161"/>
      <c r="V348" s="161"/>
      <c r="W348" s="161"/>
      <c r="X348" s="161"/>
      <c r="Y348" s="161"/>
      <c r="Z348" s="161"/>
      <c r="AA348" s="161"/>
      <c r="AB348" s="161"/>
      <c r="AC348" s="161"/>
      <c r="AD348" s="161"/>
      <c r="AE348" s="161"/>
      <c r="AF348" s="161"/>
      <c r="AG348" s="161"/>
      <c r="AH348" s="161"/>
      <c r="AI348" s="161"/>
      <c r="AJ348" s="161"/>
      <c r="AK348" s="161"/>
      <c r="AL348" s="161"/>
      <c r="AM348" s="161"/>
      <c r="AN348" s="161"/>
      <c r="AO348" s="161"/>
      <c r="AP348" s="161"/>
      <c r="AQ348" s="161"/>
      <c r="AR348" s="161"/>
      <c r="AS348" s="161"/>
      <c r="AT348" s="161"/>
      <c r="AU348" s="161"/>
      <c r="AV348" s="161"/>
      <c r="AW348" s="161"/>
      <c r="AX348" s="161"/>
      <c r="AY348" s="161"/>
      <c r="AZ348" s="161"/>
      <c r="BA348" s="161"/>
      <c r="BB348" s="161"/>
      <c r="BC348" s="161"/>
      <c r="BD348" s="161"/>
      <c r="BE348" s="161"/>
      <c r="BF348" s="161"/>
      <c r="BG348" s="161"/>
    </row>
    <row r="349" spans="1:59" s="449" customFormat="1" ht="12.75">
      <c r="A349" s="446"/>
      <c r="B349" s="447"/>
      <c r="C349" s="161"/>
      <c r="D349" s="161"/>
      <c r="E349" s="448"/>
      <c r="G349" s="162"/>
      <c r="H349" s="176"/>
      <c r="I349" s="176"/>
      <c r="J349" s="176"/>
      <c r="K349" s="176"/>
      <c r="L349" s="155"/>
      <c r="M349" s="155"/>
      <c r="N349" s="155"/>
      <c r="O349" s="155"/>
      <c r="P349" s="155"/>
      <c r="Q349" s="155"/>
      <c r="R349" s="155"/>
      <c r="S349" s="161"/>
      <c r="T349" s="162"/>
      <c r="U349" s="161"/>
      <c r="V349" s="161"/>
      <c r="W349" s="161"/>
      <c r="X349" s="161"/>
      <c r="Y349" s="161"/>
      <c r="Z349" s="161"/>
      <c r="AA349" s="161"/>
      <c r="AB349" s="161"/>
      <c r="AC349" s="161"/>
      <c r="AD349" s="161"/>
      <c r="AE349" s="161"/>
      <c r="AF349" s="161"/>
      <c r="AG349" s="161"/>
      <c r="AH349" s="161"/>
      <c r="AI349" s="161"/>
      <c r="AJ349" s="161"/>
      <c r="AK349" s="161"/>
      <c r="AL349" s="161"/>
      <c r="AM349" s="161"/>
      <c r="AN349" s="161"/>
      <c r="AO349" s="161"/>
      <c r="AP349" s="161"/>
      <c r="AQ349" s="161"/>
      <c r="AR349" s="161"/>
      <c r="AS349" s="161"/>
      <c r="AT349" s="161"/>
      <c r="AU349" s="161"/>
      <c r="AV349" s="161"/>
      <c r="AW349" s="161"/>
      <c r="AX349" s="161"/>
      <c r="AY349" s="161"/>
      <c r="AZ349" s="161"/>
      <c r="BA349" s="161"/>
      <c r="BB349" s="161"/>
      <c r="BC349" s="161"/>
      <c r="BD349" s="161"/>
      <c r="BE349" s="161"/>
      <c r="BF349" s="161"/>
      <c r="BG349" s="161"/>
    </row>
    <row r="350" spans="1:59" s="449" customFormat="1" ht="12.75">
      <c r="A350" s="446"/>
      <c r="B350" s="447"/>
      <c r="C350" s="161"/>
      <c r="D350" s="161"/>
      <c r="E350" s="448"/>
      <c r="G350" s="162"/>
      <c r="H350" s="176"/>
      <c r="I350" s="176"/>
      <c r="J350" s="176"/>
      <c r="K350" s="176"/>
      <c r="L350" s="155"/>
      <c r="M350" s="155"/>
      <c r="N350" s="155"/>
      <c r="O350" s="155"/>
      <c r="P350" s="155"/>
      <c r="Q350" s="155"/>
      <c r="R350" s="155"/>
      <c r="S350" s="161"/>
      <c r="T350" s="162"/>
      <c r="U350" s="161"/>
      <c r="V350" s="161"/>
      <c r="W350" s="161"/>
      <c r="X350" s="161"/>
      <c r="Y350" s="161"/>
      <c r="Z350" s="161"/>
      <c r="AA350" s="161"/>
      <c r="AB350" s="161"/>
      <c r="AC350" s="161"/>
      <c r="AD350" s="161"/>
      <c r="AE350" s="161"/>
      <c r="AF350" s="161"/>
      <c r="AG350" s="161"/>
      <c r="AH350" s="161"/>
      <c r="AI350" s="161"/>
      <c r="AJ350" s="161"/>
      <c r="AK350" s="161"/>
      <c r="AL350" s="161"/>
      <c r="AM350" s="161"/>
      <c r="AN350" s="161"/>
      <c r="AO350" s="161"/>
      <c r="AP350" s="161"/>
      <c r="AQ350" s="161"/>
      <c r="AR350" s="161"/>
      <c r="AS350" s="161"/>
      <c r="AT350" s="161"/>
      <c r="AU350" s="161"/>
      <c r="AV350" s="161"/>
      <c r="AW350" s="161"/>
      <c r="AX350" s="161"/>
      <c r="AY350" s="161"/>
      <c r="AZ350" s="161"/>
      <c r="BA350" s="161"/>
      <c r="BB350" s="161"/>
      <c r="BC350" s="161"/>
      <c r="BD350" s="161"/>
      <c r="BE350" s="161"/>
      <c r="BF350" s="161"/>
      <c r="BG350" s="161"/>
    </row>
    <row r="351" spans="1:59" s="449" customFormat="1" ht="12.75">
      <c r="A351" s="446"/>
      <c r="B351" s="447"/>
      <c r="C351" s="161"/>
      <c r="D351" s="161"/>
      <c r="E351" s="448"/>
      <c r="G351" s="162"/>
      <c r="H351" s="176"/>
      <c r="I351" s="176"/>
      <c r="J351" s="176"/>
      <c r="K351" s="176"/>
      <c r="L351" s="155"/>
      <c r="M351" s="155"/>
      <c r="N351" s="155"/>
      <c r="O351" s="155"/>
      <c r="P351" s="155"/>
      <c r="Q351" s="155"/>
      <c r="R351" s="155"/>
      <c r="S351" s="161"/>
      <c r="T351" s="162"/>
      <c r="U351" s="161"/>
      <c r="V351" s="161"/>
      <c r="W351" s="161"/>
      <c r="X351" s="161"/>
      <c r="Y351" s="161"/>
      <c r="Z351" s="161"/>
      <c r="AA351" s="161"/>
      <c r="AB351" s="161"/>
      <c r="AC351" s="161"/>
      <c r="AD351" s="161"/>
      <c r="AE351" s="161"/>
      <c r="AF351" s="161"/>
      <c r="AG351" s="161"/>
      <c r="AH351" s="161"/>
      <c r="AI351" s="161"/>
      <c r="AJ351" s="161"/>
      <c r="AK351" s="161"/>
      <c r="AL351" s="161"/>
      <c r="AM351" s="161"/>
      <c r="AN351" s="161"/>
      <c r="AO351" s="161"/>
      <c r="AP351" s="161"/>
      <c r="AQ351" s="161"/>
      <c r="AR351" s="161"/>
      <c r="AS351" s="161"/>
      <c r="AT351" s="161"/>
      <c r="AU351" s="161"/>
      <c r="AV351" s="161"/>
      <c r="AW351" s="161"/>
      <c r="AX351" s="161"/>
      <c r="AY351" s="161"/>
      <c r="AZ351" s="161"/>
      <c r="BA351" s="161"/>
      <c r="BB351" s="161"/>
      <c r="BC351" s="161"/>
      <c r="BD351" s="161"/>
      <c r="BE351" s="161"/>
      <c r="BF351" s="161"/>
      <c r="BG351" s="161"/>
    </row>
    <row r="352" spans="1:59" s="449" customFormat="1" ht="12.75">
      <c r="A352" s="446"/>
      <c r="B352" s="447"/>
      <c r="C352" s="161"/>
      <c r="D352" s="161"/>
      <c r="E352" s="448"/>
      <c r="G352" s="162"/>
      <c r="H352" s="176"/>
      <c r="I352" s="176"/>
      <c r="J352" s="176"/>
      <c r="K352" s="176"/>
      <c r="L352" s="155"/>
      <c r="M352" s="155"/>
      <c r="N352" s="155"/>
      <c r="O352" s="155"/>
      <c r="P352" s="155"/>
      <c r="Q352" s="155"/>
      <c r="R352" s="155"/>
      <c r="S352" s="161"/>
      <c r="T352" s="162"/>
      <c r="U352" s="161"/>
      <c r="V352" s="161"/>
      <c r="W352" s="161"/>
      <c r="X352" s="161"/>
      <c r="Y352" s="161"/>
      <c r="Z352" s="161"/>
      <c r="AA352" s="161"/>
      <c r="AB352" s="161"/>
      <c r="AC352" s="161"/>
      <c r="AD352" s="161"/>
      <c r="AE352" s="161"/>
      <c r="AF352" s="161"/>
      <c r="AG352" s="161"/>
      <c r="AH352" s="161"/>
      <c r="AI352" s="161"/>
      <c r="AJ352" s="161"/>
      <c r="AK352" s="161"/>
      <c r="AL352" s="161"/>
      <c r="AM352" s="161"/>
      <c r="AN352" s="161"/>
      <c r="AO352" s="161"/>
      <c r="AP352" s="161"/>
      <c r="AQ352" s="161"/>
      <c r="AR352" s="161"/>
      <c r="AS352" s="161"/>
      <c r="AT352" s="161"/>
      <c r="AU352" s="161"/>
      <c r="AV352" s="161"/>
      <c r="AW352" s="161"/>
      <c r="AX352" s="161"/>
      <c r="AY352" s="161"/>
      <c r="AZ352" s="161"/>
      <c r="BA352" s="161"/>
      <c r="BB352" s="161"/>
      <c r="BC352" s="161"/>
      <c r="BD352" s="161"/>
      <c r="BE352" s="161"/>
      <c r="BF352" s="161"/>
      <c r="BG352" s="161"/>
    </row>
    <row r="353" spans="1:59" s="449" customFormat="1" ht="12.75">
      <c r="A353" s="446"/>
      <c r="B353" s="447"/>
      <c r="C353" s="161"/>
      <c r="D353" s="161"/>
      <c r="E353" s="448"/>
      <c r="G353" s="162"/>
      <c r="H353" s="176"/>
      <c r="I353" s="176"/>
      <c r="J353" s="176"/>
      <c r="K353" s="176"/>
      <c r="L353" s="155"/>
      <c r="M353" s="155"/>
      <c r="N353" s="155"/>
      <c r="O353" s="155"/>
      <c r="P353" s="155"/>
      <c r="Q353" s="155"/>
      <c r="R353" s="155"/>
      <c r="S353" s="161"/>
      <c r="T353" s="162"/>
      <c r="U353" s="161"/>
      <c r="V353" s="161"/>
      <c r="W353" s="161"/>
      <c r="X353" s="161"/>
      <c r="Y353" s="161"/>
      <c r="Z353" s="161"/>
      <c r="AA353" s="161"/>
      <c r="AB353" s="161"/>
      <c r="AC353" s="161"/>
      <c r="AD353" s="161"/>
      <c r="AE353" s="161"/>
      <c r="AF353" s="161"/>
      <c r="AG353" s="161"/>
      <c r="AH353" s="161"/>
      <c r="AI353" s="161"/>
      <c r="AJ353" s="161"/>
      <c r="AK353" s="161"/>
      <c r="AL353" s="161"/>
      <c r="AM353" s="161"/>
      <c r="AN353" s="161"/>
      <c r="AO353" s="161"/>
      <c r="AP353" s="161"/>
      <c r="AQ353" s="161"/>
      <c r="AR353" s="161"/>
      <c r="AS353" s="161"/>
      <c r="AT353" s="161"/>
      <c r="AU353" s="161"/>
      <c r="AV353" s="161"/>
      <c r="AW353" s="161"/>
      <c r="AX353" s="161"/>
      <c r="AY353" s="161"/>
      <c r="AZ353" s="161"/>
      <c r="BA353" s="161"/>
      <c r="BB353" s="161"/>
      <c r="BC353" s="161"/>
      <c r="BD353" s="161"/>
      <c r="BE353" s="161"/>
      <c r="BF353" s="161"/>
      <c r="BG353" s="161"/>
    </row>
    <row r="354" spans="1:59" s="449" customFormat="1" ht="12.75">
      <c r="A354" s="446"/>
      <c r="B354" s="447"/>
      <c r="C354" s="161"/>
      <c r="D354" s="161"/>
      <c r="E354" s="448"/>
      <c r="G354" s="162"/>
      <c r="H354" s="176"/>
      <c r="I354" s="176"/>
      <c r="J354" s="176"/>
      <c r="K354" s="176"/>
      <c r="L354" s="155"/>
      <c r="M354" s="155"/>
      <c r="N354" s="155"/>
      <c r="O354" s="155"/>
      <c r="P354" s="155"/>
      <c r="Q354" s="155"/>
      <c r="R354" s="155"/>
      <c r="S354" s="161"/>
      <c r="T354" s="162"/>
      <c r="U354" s="161"/>
      <c r="V354" s="161"/>
      <c r="W354" s="161"/>
      <c r="X354" s="161"/>
      <c r="Y354" s="161"/>
      <c r="Z354" s="161"/>
      <c r="AA354" s="161"/>
      <c r="AB354" s="161"/>
      <c r="AC354" s="161"/>
      <c r="AD354" s="161"/>
      <c r="AE354" s="161"/>
      <c r="AF354" s="161"/>
      <c r="AG354" s="161"/>
      <c r="AH354" s="161"/>
      <c r="AI354" s="161"/>
      <c r="AJ354" s="161"/>
      <c r="AK354" s="161"/>
      <c r="AL354" s="161"/>
      <c r="AM354" s="161"/>
      <c r="AN354" s="161"/>
      <c r="AO354" s="161"/>
      <c r="AP354" s="161"/>
      <c r="AQ354" s="161"/>
      <c r="AR354" s="161"/>
      <c r="AS354" s="161"/>
      <c r="AT354" s="161"/>
      <c r="AU354" s="161"/>
      <c r="AV354" s="161"/>
      <c r="AW354" s="161"/>
      <c r="AX354" s="161"/>
      <c r="AY354" s="161"/>
      <c r="AZ354" s="161"/>
      <c r="BA354" s="161"/>
      <c r="BB354" s="161"/>
      <c r="BC354" s="161"/>
      <c r="BD354" s="161"/>
      <c r="BE354" s="161"/>
      <c r="BF354" s="161"/>
      <c r="BG354" s="161"/>
    </row>
    <row r="355" spans="1:59" s="449" customFormat="1" ht="12.75">
      <c r="A355" s="446"/>
      <c r="B355" s="447"/>
      <c r="C355" s="161"/>
      <c r="D355" s="161"/>
      <c r="E355" s="448"/>
      <c r="G355" s="162"/>
      <c r="H355" s="176"/>
      <c r="I355" s="176"/>
      <c r="J355" s="176"/>
      <c r="K355" s="176"/>
      <c r="L355" s="155"/>
      <c r="M355" s="155"/>
      <c r="N355" s="155"/>
      <c r="O355" s="155"/>
      <c r="P355" s="155"/>
      <c r="Q355" s="155"/>
      <c r="R355" s="155"/>
      <c r="S355" s="161"/>
      <c r="T355" s="162"/>
      <c r="U355" s="161"/>
      <c r="V355" s="161"/>
      <c r="W355" s="161"/>
      <c r="X355" s="161"/>
      <c r="Y355" s="161"/>
      <c r="Z355" s="161"/>
      <c r="AA355" s="161"/>
      <c r="AB355" s="161"/>
      <c r="AC355" s="161"/>
      <c r="AD355" s="161"/>
      <c r="AE355" s="161"/>
      <c r="AF355" s="161"/>
      <c r="AG355" s="161"/>
      <c r="AH355" s="161"/>
      <c r="AI355" s="161"/>
      <c r="AJ355" s="161"/>
      <c r="AK355" s="161"/>
      <c r="AL355" s="161"/>
      <c r="AM355" s="161"/>
      <c r="AN355" s="161"/>
      <c r="AO355" s="161"/>
      <c r="AP355" s="161"/>
      <c r="AQ355" s="161"/>
      <c r="AR355" s="161"/>
      <c r="AS355" s="161"/>
      <c r="AT355" s="161"/>
      <c r="AU355" s="161"/>
      <c r="AV355" s="161"/>
      <c r="AW355" s="161"/>
      <c r="AX355" s="161"/>
      <c r="AY355" s="161"/>
      <c r="AZ355" s="161"/>
      <c r="BA355" s="161"/>
      <c r="BB355" s="161"/>
      <c r="BC355" s="161"/>
      <c r="BD355" s="161"/>
      <c r="BE355" s="161"/>
      <c r="BF355" s="161"/>
      <c r="BG355" s="161"/>
    </row>
    <row r="356" spans="1:59" s="449" customFormat="1" ht="12.75">
      <c r="A356" s="446"/>
      <c r="B356" s="447"/>
      <c r="C356" s="161"/>
      <c r="D356" s="161"/>
      <c r="E356" s="448"/>
      <c r="G356" s="162"/>
      <c r="H356" s="176"/>
      <c r="I356" s="176"/>
      <c r="J356" s="176"/>
      <c r="K356" s="176"/>
      <c r="L356" s="155"/>
      <c r="M356" s="155"/>
      <c r="N356" s="155"/>
      <c r="O356" s="155"/>
      <c r="P356" s="155"/>
      <c r="Q356" s="155"/>
      <c r="R356" s="155"/>
      <c r="S356" s="161"/>
      <c r="T356" s="162"/>
      <c r="U356" s="161"/>
      <c r="V356" s="161"/>
      <c r="W356" s="161"/>
      <c r="X356" s="161"/>
      <c r="Y356" s="161"/>
      <c r="Z356" s="161"/>
      <c r="AA356" s="161"/>
      <c r="AB356" s="161"/>
      <c r="AC356" s="161"/>
      <c r="AD356" s="161"/>
      <c r="AE356" s="161"/>
      <c r="AF356" s="161"/>
      <c r="AG356" s="161"/>
      <c r="AH356" s="161"/>
      <c r="AI356" s="161"/>
      <c r="AJ356" s="161"/>
      <c r="AK356" s="161"/>
      <c r="AL356" s="161"/>
      <c r="AM356" s="161"/>
      <c r="AN356" s="161"/>
      <c r="AO356" s="161"/>
      <c r="AP356" s="161"/>
      <c r="AQ356" s="161"/>
      <c r="AR356" s="161"/>
      <c r="AS356" s="161"/>
      <c r="AT356" s="161"/>
      <c r="AU356" s="161"/>
      <c r="AV356" s="161"/>
      <c r="AW356" s="161"/>
      <c r="AX356" s="161"/>
      <c r="AY356" s="161"/>
      <c r="AZ356" s="161"/>
      <c r="BA356" s="161"/>
      <c r="BB356" s="161"/>
      <c r="BC356" s="161"/>
      <c r="BD356" s="161"/>
      <c r="BE356" s="161"/>
      <c r="BF356" s="161"/>
      <c r="BG356" s="161"/>
    </row>
    <row r="357" spans="1:59" s="449" customFormat="1" ht="12.75">
      <c r="A357" s="446"/>
      <c r="B357" s="447"/>
      <c r="C357" s="161"/>
      <c r="D357" s="161"/>
      <c r="E357" s="448"/>
      <c r="G357" s="162"/>
      <c r="H357" s="176"/>
      <c r="I357" s="176"/>
      <c r="J357" s="176"/>
      <c r="K357" s="176"/>
      <c r="L357" s="155"/>
      <c r="M357" s="155"/>
      <c r="N357" s="155"/>
      <c r="O357" s="155"/>
      <c r="P357" s="155"/>
      <c r="Q357" s="155"/>
      <c r="R357" s="155"/>
      <c r="S357" s="161"/>
      <c r="T357" s="162"/>
      <c r="U357" s="161"/>
      <c r="V357" s="161"/>
      <c r="W357" s="161"/>
      <c r="X357" s="161"/>
      <c r="Y357" s="161"/>
      <c r="Z357" s="161"/>
      <c r="AA357" s="161"/>
      <c r="AB357" s="161"/>
      <c r="AC357" s="161"/>
      <c r="AD357" s="161"/>
      <c r="AE357" s="161"/>
      <c r="AF357" s="161"/>
      <c r="AG357" s="161"/>
      <c r="AH357" s="161"/>
      <c r="AI357" s="161"/>
      <c r="AJ357" s="161"/>
      <c r="AK357" s="161"/>
      <c r="AL357" s="161"/>
      <c r="AM357" s="161"/>
      <c r="AN357" s="161"/>
      <c r="AO357" s="161"/>
      <c r="AP357" s="161"/>
      <c r="AQ357" s="161"/>
      <c r="AR357" s="161"/>
      <c r="AS357" s="161"/>
      <c r="AT357" s="161"/>
      <c r="AU357" s="161"/>
      <c r="AV357" s="161"/>
      <c r="AW357" s="161"/>
      <c r="AX357" s="161"/>
      <c r="AY357" s="161"/>
      <c r="AZ357" s="161"/>
      <c r="BA357" s="161"/>
      <c r="BB357" s="161"/>
      <c r="BC357" s="161"/>
      <c r="BD357" s="161"/>
      <c r="BE357" s="161"/>
      <c r="BF357" s="161"/>
      <c r="BG357" s="161"/>
    </row>
    <row r="358" spans="1:59" s="449" customFormat="1" ht="12.75">
      <c r="A358" s="446"/>
      <c r="B358" s="447"/>
      <c r="C358" s="161"/>
      <c r="D358" s="161"/>
      <c r="E358" s="448"/>
      <c r="G358" s="162"/>
      <c r="H358" s="176"/>
      <c r="I358" s="176"/>
      <c r="J358" s="176"/>
      <c r="K358" s="176"/>
      <c r="L358" s="155"/>
      <c r="M358" s="155"/>
      <c r="N358" s="155"/>
      <c r="O358" s="155"/>
      <c r="P358" s="155"/>
      <c r="Q358" s="155"/>
      <c r="R358" s="155"/>
      <c r="S358" s="161"/>
      <c r="T358" s="162"/>
      <c r="U358" s="161"/>
      <c r="V358" s="161"/>
      <c r="W358" s="161"/>
      <c r="X358" s="161"/>
      <c r="Y358" s="161"/>
      <c r="Z358" s="161"/>
      <c r="AA358" s="161"/>
      <c r="AB358" s="161"/>
      <c r="AC358" s="161"/>
      <c r="AD358" s="161"/>
      <c r="AE358" s="161"/>
      <c r="AF358" s="161"/>
      <c r="AG358" s="161"/>
      <c r="AH358" s="161"/>
      <c r="AI358" s="161"/>
      <c r="AJ358" s="161"/>
      <c r="AK358" s="161"/>
      <c r="AL358" s="161"/>
      <c r="AM358" s="161"/>
      <c r="AN358" s="161"/>
      <c r="AO358" s="161"/>
      <c r="AP358" s="161"/>
      <c r="AQ358" s="161"/>
      <c r="AR358" s="161"/>
      <c r="AS358" s="161"/>
      <c r="AT358" s="161"/>
      <c r="AU358" s="161"/>
      <c r="AV358" s="161"/>
      <c r="AW358" s="161"/>
      <c r="AX358" s="161"/>
      <c r="AY358" s="161"/>
      <c r="AZ358" s="161"/>
      <c r="BA358" s="161"/>
      <c r="BB358" s="161"/>
      <c r="BC358" s="161"/>
      <c r="BD358" s="161"/>
      <c r="BE358" s="161"/>
      <c r="BF358" s="161"/>
      <c r="BG358" s="161"/>
    </row>
    <row r="359" spans="1:59" s="449" customFormat="1" ht="12.75">
      <c r="A359" s="446"/>
      <c r="B359" s="447"/>
      <c r="C359" s="161"/>
      <c r="D359" s="161"/>
      <c r="E359" s="448"/>
      <c r="G359" s="162"/>
      <c r="H359" s="176"/>
      <c r="I359" s="176"/>
      <c r="J359" s="176"/>
      <c r="K359" s="176"/>
      <c r="L359" s="155"/>
      <c r="M359" s="155"/>
      <c r="N359" s="155"/>
      <c r="O359" s="155"/>
      <c r="P359" s="155"/>
      <c r="Q359" s="155"/>
      <c r="R359" s="155"/>
      <c r="S359" s="161"/>
      <c r="T359" s="162"/>
      <c r="U359" s="161"/>
      <c r="V359" s="161"/>
      <c r="W359" s="161"/>
      <c r="X359" s="161"/>
      <c r="Y359" s="161"/>
      <c r="Z359" s="161"/>
      <c r="AA359" s="161"/>
      <c r="AB359" s="161"/>
      <c r="AC359" s="161"/>
      <c r="AD359" s="161"/>
      <c r="AE359" s="161"/>
      <c r="AF359" s="161"/>
      <c r="AG359" s="161"/>
      <c r="AH359" s="161"/>
      <c r="AI359" s="161"/>
      <c r="AJ359" s="161"/>
      <c r="AK359" s="161"/>
      <c r="AL359" s="161"/>
      <c r="AM359" s="161"/>
      <c r="AN359" s="161"/>
      <c r="AO359" s="161"/>
      <c r="AP359" s="161"/>
      <c r="AQ359" s="161"/>
      <c r="AR359" s="161"/>
      <c r="AS359" s="161"/>
      <c r="AT359" s="161"/>
      <c r="AU359" s="161"/>
      <c r="AV359" s="161"/>
      <c r="AW359" s="161"/>
      <c r="AX359" s="161"/>
      <c r="AY359" s="161"/>
      <c r="AZ359" s="161"/>
      <c r="BA359" s="161"/>
      <c r="BB359" s="161"/>
      <c r="BC359" s="161"/>
      <c r="BD359" s="161"/>
      <c r="BE359" s="161"/>
      <c r="BF359" s="161"/>
      <c r="BG359" s="161"/>
    </row>
    <row r="360" spans="1:59" s="449" customFormat="1" ht="12.75">
      <c r="A360" s="446"/>
      <c r="B360" s="447"/>
      <c r="C360" s="161"/>
      <c r="D360" s="161"/>
      <c r="E360" s="448"/>
      <c r="G360" s="162"/>
      <c r="H360" s="176"/>
      <c r="I360" s="176"/>
      <c r="J360" s="176"/>
      <c r="K360" s="176"/>
      <c r="L360" s="155"/>
      <c r="M360" s="155"/>
      <c r="N360" s="155"/>
      <c r="O360" s="155"/>
      <c r="P360" s="155"/>
      <c r="Q360" s="155"/>
      <c r="R360" s="155"/>
      <c r="S360" s="161"/>
      <c r="T360" s="162"/>
      <c r="U360" s="161"/>
      <c r="V360" s="161"/>
      <c r="W360" s="161"/>
      <c r="X360" s="161"/>
      <c r="Y360" s="161"/>
      <c r="Z360" s="161"/>
      <c r="AA360" s="161"/>
      <c r="AB360" s="161"/>
      <c r="AC360" s="161"/>
      <c r="AD360" s="161"/>
      <c r="AE360" s="161"/>
      <c r="AF360" s="161"/>
      <c r="AG360" s="161"/>
      <c r="AH360" s="161"/>
      <c r="AI360" s="161"/>
      <c r="AJ360" s="161"/>
      <c r="AK360" s="161"/>
      <c r="AL360" s="161"/>
      <c r="AM360" s="161"/>
      <c r="AN360" s="161"/>
      <c r="AO360" s="161"/>
      <c r="AP360" s="161"/>
      <c r="AQ360" s="161"/>
      <c r="AR360" s="161"/>
      <c r="AS360" s="161"/>
      <c r="AT360" s="161"/>
      <c r="AU360" s="161"/>
      <c r="AV360" s="161"/>
      <c r="AW360" s="161"/>
      <c r="AX360" s="161"/>
      <c r="AY360" s="161"/>
      <c r="AZ360" s="161"/>
      <c r="BA360" s="161"/>
      <c r="BB360" s="161"/>
      <c r="BC360" s="161"/>
      <c r="BD360" s="161"/>
      <c r="BE360" s="161"/>
      <c r="BF360" s="161"/>
      <c r="BG360" s="161"/>
    </row>
    <row r="361" spans="1:59" s="449" customFormat="1" ht="12.75">
      <c r="A361" s="446"/>
      <c r="B361" s="447"/>
      <c r="C361" s="161"/>
      <c r="D361" s="161"/>
      <c r="E361" s="448"/>
      <c r="G361" s="162"/>
      <c r="H361" s="176"/>
      <c r="I361" s="176"/>
      <c r="J361" s="176"/>
      <c r="K361" s="176"/>
      <c r="L361" s="155"/>
      <c r="M361" s="155"/>
      <c r="N361" s="155"/>
      <c r="O361" s="155"/>
      <c r="P361" s="155"/>
      <c r="Q361" s="155"/>
      <c r="R361" s="155"/>
      <c r="S361" s="161"/>
      <c r="T361" s="162"/>
      <c r="U361" s="161"/>
      <c r="V361" s="161"/>
      <c r="W361" s="161"/>
      <c r="X361" s="161"/>
      <c r="Y361" s="161"/>
      <c r="Z361" s="161"/>
      <c r="AA361" s="161"/>
      <c r="AB361" s="161"/>
      <c r="AC361" s="161"/>
      <c r="AD361" s="161"/>
      <c r="AE361" s="161"/>
      <c r="AF361" s="161"/>
      <c r="AG361" s="161"/>
      <c r="AH361" s="161"/>
      <c r="AI361" s="161"/>
      <c r="AJ361" s="161"/>
      <c r="AK361" s="161"/>
      <c r="AL361" s="161"/>
      <c r="AM361" s="161"/>
      <c r="AN361" s="161"/>
      <c r="AO361" s="161"/>
      <c r="AP361" s="161"/>
      <c r="AQ361" s="161"/>
      <c r="AR361" s="161"/>
      <c r="AS361" s="161"/>
      <c r="AT361" s="161"/>
      <c r="AU361" s="161"/>
      <c r="AV361" s="161"/>
      <c r="AW361" s="161"/>
      <c r="AX361" s="161"/>
      <c r="AY361" s="161"/>
      <c r="AZ361" s="161"/>
      <c r="BA361" s="161"/>
      <c r="BB361" s="161"/>
      <c r="BC361" s="161"/>
      <c r="BD361" s="161"/>
      <c r="BE361" s="161"/>
      <c r="BF361" s="161"/>
      <c r="BG361" s="161"/>
    </row>
    <row r="362" spans="1:59" s="449" customFormat="1" ht="12.75">
      <c r="A362" s="446"/>
      <c r="B362" s="447"/>
      <c r="C362" s="161"/>
      <c r="D362" s="161"/>
      <c r="E362" s="448"/>
      <c r="G362" s="162"/>
      <c r="H362" s="176"/>
      <c r="I362" s="176"/>
      <c r="J362" s="176"/>
      <c r="K362" s="176"/>
      <c r="L362" s="155"/>
      <c r="M362" s="155"/>
      <c r="N362" s="155"/>
      <c r="O362" s="155"/>
      <c r="P362" s="155"/>
      <c r="Q362" s="155"/>
      <c r="R362" s="155"/>
      <c r="S362" s="161"/>
      <c r="T362" s="162"/>
      <c r="U362" s="161"/>
      <c r="V362" s="161"/>
      <c r="W362" s="161"/>
      <c r="X362" s="161"/>
      <c r="Y362" s="161"/>
      <c r="Z362" s="161"/>
      <c r="AA362" s="161"/>
      <c r="AB362" s="161"/>
      <c r="AC362" s="161"/>
      <c r="AD362" s="161"/>
      <c r="AE362" s="161"/>
      <c r="AF362" s="161"/>
      <c r="AG362" s="161"/>
      <c r="AH362" s="161"/>
      <c r="AI362" s="161"/>
      <c r="AJ362" s="161"/>
      <c r="AK362" s="161"/>
      <c r="AL362" s="161"/>
      <c r="AM362" s="161"/>
      <c r="AN362" s="161"/>
      <c r="AO362" s="161"/>
      <c r="AP362" s="161"/>
      <c r="AQ362" s="161"/>
      <c r="AR362" s="161"/>
      <c r="AS362" s="161"/>
      <c r="AT362" s="161"/>
      <c r="AU362" s="161"/>
      <c r="AV362" s="161"/>
      <c r="AW362" s="161"/>
      <c r="AX362" s="161"/>
      <c r="AY362" s="161"/>
      <c r="AZ362" s="161"/>
      <c r="BA362" s="161"/>
      <c r="BB362" s="161"/>
      <c r="BC362" s="161"/>
      <c r="BD362" s="161"/>
      <c r="BE362" s="161"/>
      <c r="BF362" s="161"/>
      <c r="BG362" s="161"/>
    </row>
    <row r="363" spans="1:59" s="449" customFormat="1" ht="12.75">
      <c r="A363" s="446"/>
      <c r="B363" s="447"/>
      <c r="C363" s="161"/>
      <c r="D363" s="161"/>
      <c r="E363" s="448"/>
      <c r="G363" s="162"/>
      <c r="H363" s="176"/>
      <c r="I363" s="176"/>
      <c r="J363" s="176"/>
      <c r="K363" s="176"/>
      <c r="L363" s="155"/>
      <c r="M363" s="155"/>
      <c r="N363" s="155"/>
      <c r="O363" s="155"/>
      <c r="P363" s="155"/>
      <c r="Q363" s="155"/>
      <c r="R363" s="155"/>
      <c r="S363" s="161"/>
      <c r="T363" s="162"/>
      <c r="U363" s="161"/>
      <c r="V363" s="161"/>
      <c r="W363" s="161"/>
      <c r="X363" s="161"/>
      <c r="Y363" s="161"/>
      <c r="Z363" s="161"/>
      <c r="AA363" s="161"/>
      <c r="AB363" s="161"/>
      <c r="AC363" s="161"/>
      <c r="AD363" s="161"/>
      <c r="AE363" s="161"/>
      <c r="AF363" s="161"/>
      <c r="AG363" s="161"/>
      <c r="AH363" s="161"/>
      <c r="AI363" s="161"/>
      <c r="AJ363" s="161"/>
      <c r="AK363" s="161"/>
      <c r="AL363" s="161"/>
      <c r="AM363" s="161"/>
      <c r="AN363" s="161"/>
      <c r="AO363" s="161"/>
      <c r="AP363" s="161"/>
      <c r="AQ363" s="161"/>
      <c r="AR363" s="161"/>
      <c r="AS363" s="161"/>
      <c r="AT363" s="161"/>
      <c r="AU363" s="161"/>
      <c r="AV363" s="161"/>
      <c r="AW363" s="161"/>
      <c r="AX363" s="161"/>
      <c r="AY363" s="161"/>
      <c r="AZ363" s="161"/>
      <c r="BA363" s="161"/>
      <c r="BB363" s="161"/>
      <c r="BC363" s="161"/>
      <c r="BD363" s="161"/>
      <c r="BE363" s="161"/>
      <c r="BF363" s="161"/>
      <c r="BG363" s="161"/>
    </row>
    <row r="364" spans="1:59" s="449" customFormat="1" ht="12.75">
      <c r="A364" s="446"/>
      <c r="B364" s="447"/>
      <c r="C364" s="161"/>
      <c r="D364" s="161"/>
      <c r="E364" s="448"/>
      <c r="G364" s="162"/>
      <c r="H364" s="176"/>
      <c r="I364" s="176"/>
      <c r="J364" s="176"/>
      <c r="K364" s="176"/>
      <c r="L364" s="155"/>
      <c r="M364" s="155"/>
      <c r="N364" s="155"/>
      <c r="O364" s="155"/>
      <c r="P364" s="155"/>
      <c r="Q364" s="155"/>
      <c r="R364" s="155"/>
      <c r="S364" s="161"/>
      <c r="T364" s="162"/>
      <c r="U364" s="161"/>
      <c r="V364" s="161"/>
      <c r="W364" s="161"/>
      <c r="X364" s="161"/>
      <c r="Y364" s="161"/>
      <c r="Z364" s="161"/>
      <c r="AA364" s="161"/>
      <c r="AB364" s="161"/>
      <c r="AC364" s="161"/>
      <c r="AD364" s="161"/>
      <c r="AE364" s="161"/>
      <c r="AF364" s="161"/>
      <c r="AG364" s="161"/>
      <c r="AH364" s="161"/>
      <c r="AI364" s="161"/>
      <c r="AJ364" s="161"/>
      <c r="AK364" s="161"/>
      <c r="AL364" s="161"/>
      <c r="AM364" s="161"/>
      <c r="AN364" s="161"/>
      <c r="AO364" s="161"/>
      <c r="AP364" s="161"/>
      <c r="AQ364" s="161"/>
      <c r="AR364" s="161"/>
      <c r="AS364" s="161"/>
      <c r="AT364" s="161"/>
      <c r="AU364" s="161"/>
      <c r="AV364" s="161"/>
      <c r="AW364" s="161"/>
      <c r="AX364" s="161"/>
      <c r="AY364" s="161"/>
      <c r="AZ364" s="161"/>
      <c r="BA364" s="161"/>
      <c r="BB364" s="161"/>
      <c r="BC364" s="161"/>
      <c r="BD364" s="161"/>
      <c r="BE364" s="161"/>
      <c r="BF364" s="161"/>
      <c r="BG364" s="161"/>
    </row>
    <row r="365" spans="1:59" s="449" customFormat="1" ht="12.75">
      <c r="A365" s="446"/>
      <c r="B365" s="447"/>
      <c r="C365" s="161"/>
      <c r="D365" s="161"/>
      <c r="E365" s="448"/>
      <c r="G365" s="162"/>
      <c r="H365" s="176"/>
      <c r="I365" s="176"/>
      <c r="J365" s="176"/>
      <c r="K365" s="176"/>
      <c r="L365" s="155"/>
      <c r="M365" s="155"/>
      <c r="N365" s="155"/>
      <c r="O365" s="155"/>
      <c r="P365" s="155"/>
      <c r="Q365" s="155"/>
      <c r="R365" s="155"/>
      <c r="S365" s="161"/>
      <c r="T365" s="162"/>
      <c r="U365" s="161"/>
      <c r="V365" s="161"/>
      <c r="W365" s="161"/>
      <c r="X365" s="161"/>
      <c r="Y365" s="161"/>
      <c r="Z365" s="161"/>
      <c r="AA365" s="161"/>
      <c r="AB365" s="161"/>
      <c r="AC365" s="161"/>
      <c r="AD365" s="161"/>
      <c r="AE365" s="161"/>
      <c r="AF365" s="161"/>
      <c r="AG365" s="161"/>
      <c r="AH365" s="161"/>
      <c r="AI365" s="161"/>
      <c r="AJ365" s="161"/>
      <c r="AK365" s="161"/>
      <c r="AL365" s="161"/>
      <c r="AM365" s="161"/>
      <c r="AN365" s="161"/>
      <c r="AO365" s="161"/>
      <c r="AP365" s="161"/>
      <c r="AQ365" s="161"/>
      <c r="AR365" s="161"/>
      <c r="AS365" s="161"/>
      <c r="AT365" s="161"/>
      <c r="AU365" s="161"/>
      <c r="AV365" s="161"/>
      <c r="AW365" s="161"/>
      <c r="AX365" s="161"/>
      <c r="AY365" s="161"/>
      <c r="AZ365" s="161"/>
      <c r="BA365" s="161"/>
      <c r="BB365" s="161"/>
      <c r="BC365" s="161"/>
      <c r="BD365" s="161"/>
      <c r="BE365" s="161"/>
      <c r="BF365" s="161"/>
      <c r="BG365" s="161"/>
    </row>
    <row r="366" spans="1:59" s="449" customFormat="1" ht="12.75">
      <c r="A366" s="446"/>
      <c r="B366" s="447"/>
      <c r="C366" s="161"/>
      <c r="D366" s="161"/>
      <c r="E366" s="448"/>
      <c r="G366" s="162"/>
      <c r="H366" s="176"/>
      <c r="I366" s="176"/>
      <c r="J366" s="176"/>
      <c r="K366" s="176"/>
      <c r="L366" s="155"/>
      <c r="M366" s="155"/>
      <c r="N366" s="155"/>
      <c r="O366" s="155"/>
      <c r="P366" s="155"/>
      <c r="Q366" s="155"/>
      <c r="R366" s="155"/>
      <c r="S366" s="161"/>
      <c r="T366" s="162"/>
      <c r="U366" s="161"/>
      <c r="V366" s="161"/>
      <c r="W366" s="161"/>
      <c r="X366" s="161"/>
      <c r="Y366" s="161"/>
      <c r="Z366" s="161"/>
      <c r="AA366" s="161"/>
      <c r="AB366" s="161"/>
      <c r="AC366" s="161"/>
      <c r="AD366" s="161"/>
      <c r="AE366" s="161"/>
      <c r="AF366" s="161"/>
      <c r="AG366" s="161"/>
      <c r="AH366" s="161"/>
      <c r="AI366" s="161"/>
      <c r="AJ366" s="161"/>
      <c r="AK366" s="161"/>
      <c r="AL366" s="161"/>
      <c r="AM366" s="161"/>
      <c r="AN366" s="161"/>
      <c r="AO366" s="161"/>
      <c r="AP366" s="161"/>
      <c r="AQ366" s="161"/>
      <c r="AR366" s="161"/>
      <c r="AS366" s="161"/>
      <c r="AT366" s="161"/>
      <c r="AU366" s="161"/>
      <c r="AV366" s="161"/>
      <c r="AW366" s="161"/>
      <c r="AX366" s="161"/>
      <c r="AY366" s="161"/>
      <c r="AZ366" s="161"/>
      <c r="BA366" s="161"/>
      <c r="BB366" s="161"/>
      <c r="BC366" s="161"/>
      <c r="BD366" s="161"/>
      <c r="BE366" s="161"/>
      <c r="BF366" s="161"/>
      <c r="BG366" s="161"/>
    </row>
    <row r="367" spans="1:59" s="449" customFormat="1" ht="12.75">
      <c r="A367" s="446"/>
      <c r="B367" s="447"/>
      <c r="C367" s="161"/>
      <c r="D367" s="161"/>
      <c r="E367" s="448"/>
      <c r="G367" s="162"/>
      <c r="H367" s="176"/>
      <c r="I367" s="176"/>
      <c r="J367" s="176"/>
      <c r="K367" s="176"/>
      <c r="L367" s="155"/>
      <c r="M367" s="155"/>
      <c r="N367" s="155"/>
      <c r="O367" s="155"/>
      <c r="P367" s="155"/>
      <c r="Q367" s="155"/>
      <c r="R367" s="155"/>
      <c r="S367" s="161"/>
      <c r="T367" s="162"/>
      <c r="U367" s="161"/>
      <c r="V367" s="161"/>
      <c r="W367" s="161"/>
      <c r="X367" s="161"/>
      <c r="Y367" s="161"/>
      <c r="Z367" s="161"/>
      <c r="AA367" s="161"/>
      <c r="AB367" s="161"/>
      <c r="AC367" s="161"/>
      <c r="AD367" s="161"/>
      <c r="AE367" s="161"/>
      <c r="AF367" s="161"/>
      <c r="AG367" s="161"/>
      <c r="AH367" s="161"/>
      <c r="AI367" s="161"/>
      <c r="AJ367" s="161"/>
      <c r="AK367" s="161"/>
      <c r="AL367" s="161"/>
      <c r="AM367" s="161"/>
      <c r="AN367" s="161"/>
      <c r="AO367" s="161"/>
      <c r="AP367" s="161"/>
      <c r="AQ367" s="161"/>
      <c r="AR367" s="161"/>
      <c r="AS367" s="161"/>
      <c r="AT367" s="161"/>
      <c r="AU367" s="161"/>
      <c r="AV367" s="161"/>
      <c r="AW367" s="161"/>
      <c r="AX367" s="161"/>
      <c r="AY367" s="161"/>
      <c r="AZ367" s="161"/>
      <c r="BA367" s="161"/>
      <c r="BB367" s="161"/>
      <c r="BC367" s="161"/>
      <c r="BD367" s="161"/>
      <c r="BE367" s="161"/>
      <c r="BF367" s="161"/>
      <c r="BG367" s="161"/>
    </row>
    <row r="368" spans="1:59" s="449" customFormat="1" ht="12.75">
      <c r="A368" s="446"/>
      <c r="B368" s="447"/>
      <c r="C368" s="161"/>
      <c r="D368" s="161"/>
      <c r="E368" s="448"/>
      <c r="G368" s="162"/>
      <c r="H368" s="176"/>
      <c r="I368" s="176"/>
      <c r="J368" s="176"/>
      <c r="K368" s="176"/>
      <c r="L368" s="155"/>
      <c r="M368" s="155"/>
      <c r="N368" s="155"/>
      <c r="O368" s="155"/>
      <c r="P368" s="155"/>
      <c r="Q368" s="155"/>
      <c r="R368" s="155"/>
      <c r="S368" s="161"/>
      <c r="T368" s="162"/>
      <c r="U368" s="161"/>
      <c r="V368" s="161"/>
      <c r="W368" s="161"/>
      <c r="X368" s="161"/>
      <c r="Y368" s="161"/>
      <c r="Z368" s="161"/>
      <c r="AA368" s="161"/>
      <c r="AB368" s="161"/>
      <c r="AC368" s="161"/>
      <c r="AD368" s="161"/>
      <c r="AE368" s="161"/>
      <c r="AF368" s="161"/>
      <c r="AG368" s="161"/>
      <c r="AH368" s="161"/>
      <c r="AI368" s="161"/>
      <c r="AJ368" s="161"/>
      <c r="AK368" s="161"/>
      <c r="AL368" s="161"/>
      <c r="AM368" s="161"/>
      <c r="AN368" s="161"/>
      <c r="AO368" s="161"/>
      <c r="AP368" s="161"/>
      <c r="AQ368" s="161"/>
      <c r="AR368" s="161"/>
      <c r="AS368" s="161"/>
      <c r="AT368" s="161"/>
      <c r="AU368" s="161"/>
      <c r="AV368" s="161"/>
      <c r="AW368" s="161"/>
      <c r="AX368" s="161"/>
      <c r="AY368" s="161"/>
      <c r="AZ368" s="161"/>
      <c r="BA368" s="161"/>
      <c r="BB368" s="161"/>
      <c r="BC368" s="161"/>
      <c r="BD368" s="161"/>
      <c r="BE368" s="161"/>
      <c r="BF368" s="161"/>
      <c r="BG368" s="161"/>
    </row>
    <row r="369" spans="1:59" s="449" customFormat="1" ht="12.75">
      <c r="A369" s="446"/>
      <c r="B369" s="447"/>
      <c r="C369" s="161"/>
      <c r="D369" s="161"/>
      <c r="E369" s="448"/>
      <c r="G369" s="162"/>
      <c r="H369" s="176"/>
      <c r="I369" s="176"/>
      <c r="J369" s="176"/>
      <c r="K369" s="176"/>
      <c r="L369" s="155"/>
      <c r="M369" s="155"/>
      <c r="N369" s="155"/>
      <c r="O369" s="155"/>
      <c r="P369" s="155"/>
      <c r="Q369" s="155"/>
      <c r="R369" s="155"/>
      <c r="S369" s="161"/>
      <c r="T369" s="162"/>
      <c r="U369" s="161"/>
      <c r="V369" s="161"/>
      <c r="W369" s="161"/>
      <c r="X369" s="161"/>
      <c r="Y369" s="161"/>
      <c r="Z369" s="161"/>
      <c r="AA369" s="161"/>
      <c r="AB369" s="161"/>
      <c r="AC369" s="161"/>
      <c r="AD369" s="161"/>
      <c r="AE369" s="161"/>
      <c r="AF369" s="161"/>
      <c r="AG369" s="161"/>
      <c r="AH369" s="161"/>
      <c r="AI369" s="161"/>
      <c r="AJ369" s="161"/>
      <c r="AK369" s="161"/>
      <c r="AL369" s="161"/>
      <c r="AM369" s="161"/>
      <c r="AN369" s="161"/>
      <c r="AO369" s="161"/>
      <c r="AP369" s="161"/>
      <c r="AQ369" s="161"/>
      <c r="AR369" s="161"/>
      <c r="AS369" s="161"/>
      <c r="AT369" s="161"/>
      <c r="AU369" s="161"/>
      <c r="AV369" s="161"/>
      <c r="AW369" s="161"/>
      <c r="AX369" s="161"/>
      <c r="AY369" s="161"/>
      <c r="AZ369" s="161"/>
      <c r="BA369" s="161"/>
      <c r="BB369" s="161"/>
      <c r="BC369" s="161"/>
      <c r="BD369" s="161"/>
      <c r="BE369" s="161"/>
      <c r="BF369" s="161"/>
      <c r="BG369" s="161"/>
    </row>
    <row r="370" spans="1:59" s="449" customFormat="1" ht="12.75">
      <c r="A370" s="446"/>
      <c r="B370" s="447"/>
      <c r="C370" s="161"/>
      <c r="D370" s="161"/>
      <c r="E370" s="448"/>
      <c r="G370" s="162"/>
      <c r="H370" s="176"/>
      <c r="I370" s="176"/>
      <c r="J370" s="176"/>
      <c r="K370" s="176"/>
      <c r="L370" s="155"/>
      <c r="M370" s="155"/>
      <c r="N370" s="155"/>
      <c r="O370" s="155"/>
      <c r="P370" s="155"/>
      <c r="Q370" s="155"/>
      <c r="R370" s="155"/>
      <c r="S370" s="161"/>
      <c r="T370" s="162"/>
      <c r="U370" s="161"/>
      <c r="V370" s="161"/>
      <c r="W370" s="161"/>
      <c r="X370" s="161"/>
      <c r="Y370" s="161"/>
      <c r="Z370" s="161"/>
      <c r="AA370" s="161"/>
      <c r="AB370" s="161"/>
      <c r="AC370" s="161"/>
      <c r="AD370" s="161"/>
      <c r="AE370" s="161"/>
      <c r="AF370" s="161"/>
      <c r="AG370" s="161"/>
      <c r="AH370" s="161"/>
      <c r="AI370" s="161"/>
      <c r="AJ370" s="161"/>
      <c r="AK370" s="161"/>
      <c r="AL370" s="161"/>
      <c r="AM370" s="161"/>
      <c r="AN370" s="161"/>
      <c r="AO370" s="161"/>
      <c r="AP370" s="161"/>
      <c r="AQ370" s="161"/>
      <c r="AR370" s="161"/>
      <c r="AS370" s="161"/>
      <c r="AT370" s="161"/>
      <c r="AU370" s="161"/>
      <c r="AV370" s="161"/>
      <c r="AW370" s="161"/>
      <c r="AX370" s="161"/>
      <c r="AY370" s="161"/>
      <c r="AZ370" s="161"/>
      <c r="BA370" s="161"/>
      <c r="BB370" s="161"/>
      <c r="BC370" s="161"/>
      <c r="BD370" s="161"/>
      <c r="BE370" s="161"/>
      <c r="BF370" s="161"/>
      <c r="BG370" s="161"/>
    </row>
    <row r="371" spans="1:59" s="449" customFormat="1" ht="12.75">
      <c r="A371" s="446"/>
      <c r="B371" s="447"/>
      <c r="C371" s="161"/>
      <c r="D371" s="161"/>
      <c r="E371" s="448"/>
      <c r="G371" s="162"/>
      <c r="H371" s="176"/>
      <c r="I371" s="176"/>
      <c r="J371" s="176"/>
      <c r="K371" s="176"/>
      <c r="L371" s="155"/>
      <c r="M371" s="155"/>
      <c r="N371" s="155"/>
      <c r="O371" s="155"/>
      <c r="P371" s="155"/>
      <c r="Q371" s="155"/>
      <c r="R371" s="155"/>
      <c r="S371" s="161"/>
      <c r="T371" s="162"/>
      <c r="U371" s="161"/>
      <c r="V371" s="161"/>
      <c r="W371" s="161"/>
      <c r="X371" s="161"/>
      <c r="Y371" s="161"/>
      <c r="Z371" s="161"/>
      <c r="AA371" s="161"/>
      <c r="AB371" s="161"/>
      <c r="AC371" s="161"/>
      <c r="AD371" s="161"/>
      <c r="AE371" s="161"/>
      <c r="AF371" s="161"/>
      <c r="AG371" s="161"/>
      <c r="AH371" s="161"/>
      <c r="AI371" s="161"/>
      <c r="AJ371" s="161"/>
      <c r="AK371" s="161"/>
      <c r="AL371" s="161"/>
      <c r="AM371" s="161"/>
      <c r="AN371" s="161"/>
      <c r="AO371" s="161"/>
      <c r="AP371" s="161"/>
      <c r="AQ371" s="161"/>
      <c r="AR371" s="161"/>
      <c r="AS371" s="161"/>
      <c r="AT371" s="161"/>
      <c r="AU371" s="161"/>
      <c r="AV371" s="161"/>
      <c r="AW371" s="161"/>
      <c r="AX371" s="161"/>
      <c r="AY371" s="161"/>
      <c r="AZ371" s="161"/>
      <c r="BA371" s="161"/>
      <c r="BB371" s="161"/>
      <c r="BC371" s="161"/>
      <c r="BD371" s="161"/>
      <c r="BE371" s="161"/>
      <c r="BF371" s="161"/>
      <c r="BG371" s="161"/>
    </row>
    <row r="372" spans="1:59" s="449" customFormat="1" ht="12.75">
      <c r="A372" s="446"/>
      <c r="B372" s="447"/>
      <c r="C372" s="161"/>
      <c r="D372" s="161"/>
      <c r="E372" s="448"/>
      <c r="G372" s="162"/>
      <c r="H372" s="176"/>
      <c r="I372" s="176"/>
      <c r="J372" s="176"/>
      <c r="K372" s="176"/>
      <c r="L372" s="155"/>
      <c r="M372" s="155"/>
      <c r="N372" s="155"/>
      <c r="O372" s="155"/>
      <c r="P372" s="155"/>
      <c r="Q372" s="155"/>
      <c r="R372" s="155"/>
      <c r="S372" s="161"/>
      <c r="T372" s="162"/>
      <c r="U372" s="161"/>
      <c r="V372" s="161"/>
      <c r="W372" s="161"/>
      <c r="X372" s="161"/>
      <c r="Y372" s="161"/>
      <c r="Z372" s="161"/>
      <c r="AA372" s="161"/>
      <c r="AB372" s="161"/>
      <c r="AC372" s="161"/>
      <c r="AD372" s="161"/>
      <c r="AE372" s="161"/>
      <c r="AF372" s="161"/>
      <c r="AG372" s="161"/>
      <c r="AH372" s="161"/>
      <c r="AI372" s="161"/>
      <c r="AJ372" s="161"/>
      <c r="AK372" s="161"/>
      <c r="AL372" s="161"/>
      <c r="AM372" s="161"/>
      <c r="AN372" s="161"/>
      <c r="AO372" s="161"/>
      <c r="AP372" s="161"/>
      <c r="AQ372" s="161"/>
      <c r="AR372" s="161"/>
      <c r="AS372" s="161"/>
      <c r="AT372" s="161"/>
      <c r="AU372" s="161"/>
      <c r="AV372" s="161"/>
      <c r="AW372" s="161"/>
      <c r="AX372" s="161"/>
      <c r="AY372" s="161"/>
      <c r="AZ372" s="161"/>
      <c r="BA372" s="161"/>
      <c r="BB372" s="161"/>
      <c r="BC372" s="161"/>
      <c r="BD372" s="161"/>
      <c r="BE372" s="161"/>
      <c r="BF372" s="161"/>
      <c r="BG372" s="161"/>
    </row>
    <row r="373" spans="1:59" s="449" customFormat="1" ht="12.75">
      <c r="A373" s="446"/>
      <c r="B373" s="447"/>
      <c r="C373" s="161"/>
      <c r="D373" s="161"/>
      <c r="E373" s="448"/>
      <c r="G373" s="162"/>
      <c r="H373" s="176"/>
      <c r="I373" s="176"/>
      <c r="J373" s="176"/>
      <c r="K373" s="176"/>
      <c r="L373" s="155"/>
      <c r="M373" s="155"/>
      <c r="N373" s="155"/>
      <c r="O373" s="155"/>
      <c r="P373" s="155"/>
      <c r="Q373" s="155"/>
      <c r="R373" s="155"/>
      <c r="S373" s="161"/>
      <c r="T373" s="162"/>
      <c r="U373" s="161"/>
      <c r="V373" s="161"/>
      <c r="W373" s="161"/>
      <c r="X373" s="161"/>
      <c r="Y373" s="161"/>
      <c r="Z373" s="161"/>
      <c r="AA373" s="161"/>
      <c r="AB373" s="161"/>
      <c r="AC373" s="161"/>
      <c r="AD373" s="161"/>
      <c r="AE373" s="161"/>
      <c r="AF373" s="161"/>
      <c r="AG373" s="161"/>
      <c r="AH373" s="161"/>
      <c r="AI373" s="161"/>
      <c r="AJ373" s="161"/>
      <c r="AK373" s="161"/>
      <c r="AL373" s="161"/>
      <c r="AM373" s="161"/>
      <c r="AN373" s="161"/>
      <c r="AO373" s="161"/>
      <c r="AP373" s="161"/>
      <c r="AQ373" s="161"/>
      <c r="AR373" s="161"/>
      <c r="AS373" s="161"/>
      <c r="AT373" s="161"/>
      <c r="AU373" s="161"/>
      <c r="AV373" s="161"/>
      <c r="AW373" s="161"/>
      <c r="AX373" s="161"/>
      <c r="AY373" s="161"/>
      <c r="AZ373" s="161"/>
      <c r="BA373" s="161"/>
      <c r="BB373" s="161"/>
      <c r="BC373" s="161"/>
      <c r="BD373" s="161"/>
      <c r="BE373" s="161"/>
      <c r="BF373" s="161"/>
      <c r="BG373" s="161"/>
    </row>
    <row r="374" spans="1:59" s="449" customFormat="1" ht="12.75">
      <c r="A374" s="446"/>
      <c r="B374" s="447"/>
      <c r="C374" s="161"/>
      <c r="D374" s="161"/>
      <c r="E374" s="448"/>
      <c r="G374" s="162"/>
      <c r="H374" s="176"/>
      <c r="I374" s="176"/>
      <c r="J374" s="176"/>
      <c r="K374" s="176"/>
      <c r="L374" s="155"/>
      <c r="M374" s="155"/>
      <c r="N374" s="155"/>
      <c r="O374" s="155"/>
      <c r="P374" s="155"/>
      <c r="Q374" s="155"/>
      <c r="R374" s="155"/>
      <c r="S374" s="161"/>
      <c r="T374" s="162"/>
      <c r="U374" s="161"/>
      <c r="V374" s="161"/>
      <c r="W374" s="161"/>
      <c r="X374" s="161"/>
      <c r="Y374" s="161"/>
      <c r="Z374" s="161"/>
      <c r="AA374" s="161"/>
      <c r="AB374" s="161"/>
      <c r="AC374" s="161"/>
      <c r="AD374" s="161"/>
      <c r="AE374" s="161"/>
      <c r="AF374" s="161"/>
      <c r="AG374" s="161"/>
      <c r="AH374" s="161"/>
      <c r="AI374" s="161"/>
      <c r="AJ374" s="161"/>
      <c r="AK374" s="161"/>
      <c r="AL374" s="161"/>
      <c r="AM374" s="161"/>
      <c r="AN374" s="161"/>
      <c r="AO374" s="161"/>
      <c r="AP374" s="161"/>
      <c r="AQ374" s="161"/>
      <c r="AR374" s="161"/>
      <c r="AS374" s="161"/>
      <c r="AT374" s="161"/>
      <c r="AU374" s="161"/>
      <c r="AV374" s="161"/>
      <c r="AW374" s="161"/>
      <c r="AX374" s="161"/>
      <c r="AY374" s="161"/>
      <c r="AZ374" s="161"/>
      <c r="BA374" s="161"/>
      <c r="BB374" s="161"/>
      <c r="BC374" s="161"/>
      <c r="BD374" s="161"/>
      <c r="BE374" s="161"/>
      <c r="BF374" s="161"/>
      <c r="BG374" s="161"/>
    </row>
    <row r="375" spans="1:59" s="449" customFormat="1" ht="12.75">
      <c r="A375" s="446"/>
      <c r="B375" s="447"/>
      <c r="C375" s="161"/>
      <c r="D375" s="161"/>
      <c r="E375" s="448"/>
      <c r="G375" s="162"/>
      <c r="H375" s="176"/>
      <c r="I375" s="176"/>
      <c r="J375" s="176"/>
      <c r="K375" s="176"/>
      <c r="L375" s="155"/>
      <c r="M375" s="155"/>
      <c r="N375" s="155"/>
      <c r="O375" s="155"/>
      <c r="P375" s="155"/>
      <c r="Q375" s="155"/>
      <c r="R375" s="155"/>
      <c r="S375" s="161"/>
      <c r="T375" s="162"/>
      <c r="U375" s="161"/>
      <c r="V375" s="161"/>
      <c r="W375" s="161"/>
      <c r="X375" s="161"/>
      <c r="Y375" s="161"/>
      <c r="Z375" s="161"/>
      <c r="AA375" s="161"/>
      <c r="AB375" s="161"/>
      <c r="AC375" s="161"/>
      <c r="AD375" s="161"/>
      <c r="AE375" s="161"/>
      <c r="AF375" s="161"/>
      <c r="AG375" s="161"/>
      <c r="AH375" s="161"/>
      <c r="AI375" s="161"/>
      <c r="AJ375" s="161"/>
      <c r="AK375" s="161"/>
      <c r="AL375" s="161"/>
      <c r="AM375" s="161"/>
      <c r="AN375" s="161"/>
      <c r="AO375" s="161"/>
      <c r="AP375" s="161"/>
      <c r="AQ375" s="161"/>
      <c r="AR375" s="161"/>
      <c r="AS375" s="161"/>
      <c r="AT375" s="161"/>
      <c r="AU375" s="161"/>
      <c r="AV375" s="161"/>
      <c r="AW375" s="161"/>
      <c r="AX375" s="161"/>
      <c r="AY375" s="161"/>
      <c r="AZ375" s="161"/>
      <c r="BA375" s="161"/>
      <c r="BB375" s="161"/>
      <c r="BC375" s="161"/>
      <c r="BD375" s="161"/>
      <c r="BE375" s="161"/>
      <c r="BF375" s="161"/>
      <c r="BG375" s="161"/>
    </row>
    <row r="376" spans="1:59" s="449" customFormat="1" ht="12.75">
      <c r="A376" s="446"/>
      <c r="B376" s="447"/>
      <c r="C376" s="161"/>
      <c r="D376" s="161"/>
      <c r="E376" s="448"/>
      <c r="G376" s="162"/>
      <c r="H376" s="176"/>
      <c r="I376" s="176"/>
      <c r="J376" s="176"/>
      <c r="K376" s="176"/>
      <c r="L376" s="155"/>
      <c r="M376" s="155"/>
      <c r="N376" s="155"/>
      <c r="O376" s="155"/>
      <c r="P376" s="155"/>
      <c r="Q376" s="155"/>
      <c r="R376" s="155"/>
      <c r="S376" s="161"/>
      <c r="T376" s="162"/>
      <c r="U376" s="161"/>
      <c r="V376" s="161"/>
      <c r="W376" s="161"/>
      <c r="X376" s="161"/>
      <c r="Y376" s="161"/>
      <c r="Z376" s="161"/>
      <c r="AA376" s="161"/>
      <c r="AB376" s="161"/>
      <c r="AC376" s="161"/>
      <c r="AD376" s="161"/>
      <c r="AE376" s="161"/>
      <c r="AF376" s="161"/>
      <c r="AG376" s="161"/>
      <c r="AH376" s="161"/>
      <c r="AI376" s="161"/>
      <c r="AJ376" s="161"/>
      <c r="AK376" s="161"/>
      <c r="AL376" s="161"/>
      <c r="AM376" s="161"/>
      <c r="AN376" s="161"/>
      <c r="AO376" s="161"/>
      <c r="AP376" s="161"/>
      <c r="AQ376" s="161"/>
      <c r="AR376" s="161"/>
      <c r="AS376" s="161"/>
      <c r="AT376" s="161"/>
      <c r="AU376" s="161"/>
      <c r="AV376" s="161"/>
      <c r="AW376" s="161"/>
      <c r="AX376" s="161"/>
      <c r="AY376" s="161"/>
      <c r="AZ376" s="161"/>
      <c r="BA376" s="161"/>
      <c r="BB376" s="161"/>
      <c r="BC376" s="161"/>
      <c r="BD376" s="161"/>
      <c r="BE376" s="161"/>
      <c r="BF376" s="161"/>
      <c r="BG376" s="161"/>
    </row>
    <row r="377" spans="1:59" s="449" customFormat="1" ht="12.75">
      <c r="A377" s="446"/>
      <c r="B377" s="447"/>
      <c r="C377" s="161"/>
      <c r="D377" s="161"/>
      <c r="E377" s="448"/>
      <c r="G377" s="162"/>
      <c r="H377" s="176"/>
      <c r="I377" s="176"/>
      <c r="J377" s="176"/>
      <c r="K377" s="176"/>
      <c r="L377" s="155"/>
      <c r="M377" s="155"/>
      <c r="N377" s="155"/>
      <c r="O377" s="155"/>
      <c r="P377" s="155"/>
      <c r="Q377" s="155"/>
      <c r="R377" s="155"/>
      <c r="S377" s="161"/>
      <c r="T377" s="162"/>
      <c r="U377" s="161"/>
      <c r="V377" s="161"/>
      <c r="W377" s="161"/>
      <c r="X377" s="161"/>
      <c r="Y377" s="161"/>
      <c r="Z377" s="161"/>
      <c r="AA377" s="161"/>
      <c r="AB377" s="161"/>
      <c r="AC377" s="161"/>
      <c r="AD377" s="161"/>
      <c r="AE377" s="161"/>
      <c r="AF377" s="161"/>
      <c r="AG377" s="161"/>
      <c r="AH377" s="161"/>
      <c r="AI377" s="161"/>
      <c r="AJ377" s="161"/>
      <c r="AK377" s="161"/>
      <c r="AL377" s="161"/>
      <c r="AM377" s="161"/>
      <c r="AN377" s="161"/>
      <c r="AO377" s="161"/>
      <c r="AP377" s="161"/>
      <c r="AQ377" s="161"/>
      <c r="AR377" s="161"/>
      <c r="AS377" s="161"/>
      <c r="AT377" s="161"/>
      <c r="AU377" s="161"/>
      <c r="AV377" s="161"/>
      <c r="AW377" s="161"/>
      <c r="AX377" s="161"/>
      <c r="AY377" s="161"/>
      <c r="AZ377" s="161"/>
      <c r="BA377" s="161"/>
      <c r="BB377" s="161"/>
      <c r="BC377" s="161"/>
      <c r="BD377" s="161"/>
      <c r="BE377" s="161"/>
      <c r="BF377" s="161"/>
      <c r="BG377" s="161"/>
    </row>
    <row r="378" spans="1:59" s="449" customFormat="1" ht="12.75">
      <c r="A378" s="446"/>
      <c r="B378" s="447"/>
      <c r="C378" s="161"/>
      <c r="D378" s="161"/>
      <c r="E378" s="448"/>
      <c r="G378" s="162"/>
      <c r="H378" s="176"/>
      <c r="I378" s="176"/>
      <c r="J378" s="176"/>
      <c r="K378" s="176"/>
      <c r="L378" s="155"/>
      <c r="M378" s="155"/>
      <c r="N378" s="155"/>
      <c r="O378" s="155"/>
      <c r="P378" s="155"/>
      <c r="Q378" s="155"/>
      <c r="R378" s="155"/>
      <c r="S378" s="161"/>
      <c r="T378" s="162"/>
      <c r="U378" s="161"/>
      <c r="V378" s="161"/>
      <c r="W378" s="161"/>
      <c r="X378" s="161"/>
      <c r="Y378" s="161"/>
      <c r="Z378" s="161"/>
      <c r="AA378" s="161"/>
      <c r="AB378" s="161"/>
      <c r="AC378" s="161"/>
      <c r="AD378" s="161"/>
      <c r="AE378" s="161"/>
      <c r="AF378" s="161"/>
      <c r="AG378" s="161"/>
      <c r="AH378" s="161"/>
      <c r="AI378" s="161"/>
      <c r="AJ378" s="161"/>
      <c r="AK378" s="161"/>
      <c r="AL378" s="161"/>
      <c r="AM378" s="161"/>
      <c r="AN378" s="161"/>
      <c r="AO378" s="161"/>
      <c r="AP378" s="161"/>
      <c r="AQ378" s="161"/>
      <c r="AR378" s="161"/>
      <c r="AS378" s="161"/>
      <c r="AT378" s="161"/>
      <c r="AU378" s="161"/>
      <c r="AV378" s="161"/>
      <c r="AW378" s="161"/>
      <c r="AX378" s="161"/>
      <c r="AY378" s="161"/>
      <c r="AZ378" s="161"/>
      <c r="BA378" s="161"/>
      <c r="BB378" s="161"/>
      <c r="BC378" s="161"/>
      <c r="BD378" s="161"/>
      <c r="BE378" s="161"/>
      <c r="BF378" s="161"/>
      <c r="BG378" s="161"/>
    </row>
    <row r="379" spans="1:59" s="449" customFormat="1" ht="12.75">
      <c r="A379" s="446"/>
      <c r="B379" s="447"/>
      <c r="C379" s="161"/>
      <c r="D379" s="161"/>
      <c r="E379" s="448"/>
      <c r="G379" s="162"/>
      <c r="H379" s="176"/>
      <c r="I379" s="176"/>
      <c r="J379" s="176"/>
      <c r="K379" s="176"/>
      <c r="L379" s="155"/>
      <c r="M379" s="155"/>
      <c r="N379" s="155"/>
      <c r="O379" s="155"/>
      <c r="P379" s="155"/>
      <c r="Q379" s="155"/>
      <c r="R379" s="155"/>
      <c r="S379" s="161"/>
      <c r="T379" s="162"/>
      <c r="U379" s="161"/>
      <c r="V379" s="161"/>
      <c r="W379" s="161"/>
      <c r="X379" s="161"/>
      <c r="Y379" s="161"/>
      <c r="Z379" s="161"/>
      <c r="AA379" s="161"/>
      <c r="AB379" s="161"/>
      <c r="AC379" s="161"/>
      <c r="AD379" s="161"/>
      <c r="AE379" s="161"/>
      <c r="AF379" s="161"/>
      <c r="AG379" s="161"/>
      <c r="AH379" s="161"/>
      <c r="AI379" s="161"/>
      <c r="AJ379" s="161"/>
      <c r="AK379" s="161"/>
      <c r="AL379" s="161"/>
      <c r="AM379" s="161"/>
      <c r="AN379" s="161"/>
      <c r="AO379" s="161"/>
      <c r="AP379" s="161"/>
      <c r="AQ379" s="161"/>
      <c r="AR379" s="161"/>
      <c r="AS379" s="161"/>
      <c r="AT379" s="161"/>
      <c r="AU379" s="161"/>
      <c r="AV379" s="161"/>
      <c r="AW379" s="161"/>
      <c r="AX379" s="161"/>
      <c r="AY379" s="161"/>
      <c r="AZ379" s="161"/>
      <c r="BA379" s="161"/>
      <c r="BB379" s="161"/>
      <c r="BC379" s="161"/>
      <c r="BD379" s="161"/>
      <c r="BE379" s="161"/>
      <c r="BF379" s="161"/>
      <c r="BG379" s="161"/>
    </row>
    <row r="380" spans="1:59" s="449" customFormat="1" ht="12.75">
      <c r="A380" s="446"/>
      <c r="B380" s="447"/>
      <c r="C380" s="161"/>
      <c r="D380" s="161"/>
      <c r="E380" s="448"/>
      <c r="G380" s="162"/>
      <c r="H380" s="176"/>
      <c r="I380" s="176"/>
      <c r="J380" s="176"/>
      <c r="K380" s="176"/>
      <c r="L380" s="155"/>
      <c r="M380" s="155"/>
      <c r="N380" s="155"/>
      <c r="O380" s="155"/>
      <c r="P380" s="155"/>
      <c r="Q380" s="155"/>
      <c r="R380" s="155"/>
      <c r="S380" s="161"/>
      <c r="T380" s="162"/>
      <c r="U380" s="161"/>
      <c r="V380" s="161"/>
      <c r="W380" s="161"/>
      <c r="X380" s="161"/>
      <c r="Y380" s="161"/>
      <c r="Z380" s="161"/>
      <c r="AA380" s="161"/>
      <c r="AB380" s="161"/>
      <c r="AC380" s="161"/>
      <c r="AD380" s="161"/>
      <c r="AE380" s="161"/>
      <c r="AF380" s="161"/>
      <c r="AG380" s="161"/>
      <c r="AH380" s="161"/>
      <c r="AI380" s="161"/>
      <c r="AJ380" s="161"/>
      <c r="AK380" s="161"/>
      <c r="AL380" s="161"/>
      <c r="AM380" s="161"/>
      <c r="AN380" s="161"/>
      <c r="AO380" s="161"/>
      <c r="AP380" s="161"/>
      <c r="AQ380" s="161"/>
      <c r="AR380" s="161"/>
      <c r="AS380" s="161"/>
      <c r="AT380" s="161"/>
      <c r="AU380" s="161"/>
      <c r="AV380" s="161"/>
      <c r="AW380" s="161"/>
      <c r="AX380" s="161"/>
      <c r="AY380" s="161"/>
      <c r="AZ380" s="161"/>
      <c r="BA380" s="161"/>
      <c r="BB380" s="161"/>
      <c r="BC380" s="161"/>
      <c r="BD380" s="161"/>
      <c r="BE380" s="161"/>
      <c r="BF380" s="161"/>
      <c r="BG380" s="161"/>
    </row>
    <row r="381" spans="1:59" s="449" customFormat="1" ht="12.75">
      <c r="A381" s="446"/>
      <c r="B381" s="447"/>
      <c r="C381" s="161"/>
      <c r="D381" s="161"/>
      <c r="E381" s="448"/>
      <c r="G381" s="162"/>
      <c r="H381" s="176"/>
      <c r="I381" s="176"/>
      <c r="J381" s="176"/>
      <c r="K381" s="176"/>
      <c r="L381" s="155"/>
      <c r="M381" s="155"/>
      <c r="N381" s="155"/>
      <c r="O381" s="155"/>
      <c r="P381" s="155"/>
      <c r="Q381" s="155"/>
      <c r="R381" s="155"/>
      <c r="S381" s="161"/>
      <c r="T381" s="162"/>
      <c r="U381" s="161"/>
      <c r="V381" s="161"/>
      <c r="W381" s="161"/>
      <c r="X381" s="161"/>
      <c r="Y381" s="161"/>
      <c r="Z381" s="161"/>
      <c r="AA381" s="161"/>
      <c r="AB381" s="161"/>
      <c r="AC381" s="161"/>
      <c r="AD381" s="161"/>
      <c r="AE381" s="161"/>
      <c r="AF381" s="161"/>
      <c r="AG381" s="161"/>
      <c r="AH381" s="161"/>
      <c r="AI381" s="161"/>
      <c r="AJ381" s="161"/>
      <c r="AK381" s="161"/>
      <c r="AL381" s="161"/>
      <c r="AM381" s="161"/>
      <c r="AN381" s="161"/>
      <c r="AO381" s="161"/>
      <c r="AP381" s="161"/>
      <c r="AQ381" s="161"/>
      <c r="AR381" s="161"/>
      <c r="AS381" s="161"/>
      <c r="AT381" s="161"/>
      <c r="AU381" s="161"/>
      <c r="AV381" s="161"/>
      <c r="AW381" s="161"/>
      <c r="AX381" s="161"/>
      <c r="AY381" s="161"/>
      <c r="AZ381" s="161"/>
      <c r="BA381" s="161"/>
      <c r="BB381" s="161"/>
      <c r="BC381" s="161"/>
      <c r="BD381" s="161"/>
      <c r="BE381" s="161"/>
      <c r="BF381" s="161"/>
      <c r="BG381" s="161"/>
    </row>
    <row r="382" spans="1:59" s="449" customFormat="1" ht="12.75">
      <c r="A382" s="446"/>
      <c r="B382" s="447"/>
      <c r="C382" s="161"/>
      <c r="D382" s="161"/>
      <c r="E382" s="448"/>
      <c r="G382" s="162"/>
      <c r="H382" s="176"/>
      <c r="I382" s="176"/>
      <c r="J382" s="176"/>
      <c r="K382" s="176"/>
      <c r="L382" s="155"/>
      <c r="M382" s="155"/>
      <c r="N382" s="155"/>
      <c r="O382" s="155"/>
      <c r="P382" s="155"/>
      <c r="Q382" s="155"/>
      <c r="R382" s="155"/>
      <c r="S382" s="161"/>
      <c r="T382" s="162"/>
      <c r="U382" s="161"/>
      <c r="V382" s="161"/>
      <c r="W382" s="161"/>
      <c r="X382" s="161"/>
      <c r="Y382" s="161"/>
      <c r="Z382" s="161"/>
      <c r="AA382" s="161"/>
      <c r="AB382" s="161"/>
      <c r="AC382" s="161"/>
      <c r="AD382" s="161"/>
      <c r="AE382" s="161"/>
      <c r="AF382" s="161"/>
      <c r="AG382" s="161"/>
      <c r="AH382" s="161"/>
      <c r="AI382" s="161"/>
      <c r="AJ382" s="161"/>
      <c r="AK382" s="161"/>
      <c r="AL382" s="161"/>
      <c r="AM382" s="161"/>
      <c r="AN382" s="161"/>
      <c r="AO382" s="161"/>
      <c r="AP382" s="161"/>
      <c r="AQ382" s="161"/>
      <c r="AR382" s="161"/>
      <c r="AS382" s="161"/>
      <c r="AT382" s="161"/>
      <c r="AU382" s="161"/>
      <c r="AV382" s="161"/>
      <c r="AW382" s="161"/>
      <c r="AX382" s="161"/>
      <c r="AY382" s="161"/>
      <c r="AZ382" s="161"/>
      <c r="BA382" s="161"/>
      <c r="BB382" s="161"/>
      <c r="BC382" s="161"/>
      <c r="BD382" s="161"/>
      <c r="BE382" s="161"/>
      <c r="BF382" s="161"/>
      <c r="BG382" s="161"/>
    </row>
    <row r="383" spans="1:59" s="449" customFormat="1" ht="12.75">
      <c r="A383" s="446"/>
      <c r="B383" s="447"/>
      <c r="C383" s="161"/>
      <c r="D383" s="161"/>
      <c r="E383" s="448"/>
      <c r="G383" s="162"/>
      <c r="H383" s="176"/>
      <c r="I383" s="176"/>
      <c r="J383" s="176"/>
      <c r="K383" s="176"/>
      <c r="L383" s="155"/>
      <c r="M383" s="155"/>
      <c r="N383" s="155"/>
      <c r="O383" s="155"/>
      <c r="P383" s="155"/>
      <c r="Q383" s="155"/>
      <c r="R383" s="155"/>
      <c r="S383" s="161"/>
      <c r="T383" s="162"/>
      <c r="U383" s="161"/>
      <c r="V383" s="161"/>
      <c r="W383" s="161"/>
      <c r="X383" s="161"/>
      <c r="Y383" s="161"/>
      <c r="Z383" s="161"/>
      <c r="AA383" s="161"/>
      <c r="AB383" s="161"/>
      <c r="AC383" s="161"/>
      <c r="AD383" s="161"/>
      <c r="AE383" s="161"/>
      <c r="AF383" s="161"/>
      <c r="AG383" s="161"/>
      <c r="AH383" s="161"/>
      <c r="AI383" s="161"/>
      <c r="AJ383" s="161"/>
      <c r="AK383" s="161"/>
      <c r="AL383" s="161"/>
      <c r="AM383" s="161"/>
      <c r="AN383" s="161"/>
      <c r="AO383" s="161"/>
      <c r="AP383" s="161"/>
      <c r="AQ383" s="161"/>
      <c r="AR383" s="161"/>
      <c r="AS383" s="161"/>
      <c r="AT383" s="161"/>
      <c r="AU383" s="161"/>
      <c r="AV383" s="161"/>
      <c r="AW383" s="161"/>
      <c r="AX383" s="161"/>
      <c r="AY383" s="161"/>
      <c r="AZ383" s="161"/>
      <c r="BA383" s="161"/>
      <c r="BB383" s="161"/>
      <c r="BC383" s="161"/>
      <c r="BD383" s="161"/>
      <c r="BE383" s="161"/>
      <c r="BF383" s="161"/>
      <c r="BG383" s="161"/>
    </row>
    <row r="384" spans="1:59" s="449" customFormat="1" ht="12.75">
      <c r="A384" s="446"/>
      <c r="B384" s="447"/>
      <c r="C384" s="161"/>
      <c r="D384" s="161"/>
      <c r="E384" s="448"/>
      <c r="G384" s="162"/>
      <c r="H384" s="176"/>
      <c r="I384" s="176"/>
      <c r="J384" s="176"/>
      <c r="K384" s="176"/>
      <c r="L384" s="155"/>
      <c r="M384" s="155"/>
      <c r="N384" s="155"/>
      <c r="O384" s="155"/>
      <c r="P384" s="155"/>
      <c r="Q384" s="155"/>
      <c r="R384" s="155"/>
      <c r="S384" s="161"/>
      <c r="T384" s="162"/>
      <c r="U384" s="161"/>
      <c r="V384" s="161"/>
      <c r="W384" s="161"/>
      <c r="X384" s="161"/>
      <c r="Y384" s="161"/>
      <c r="Z384" s="161"/>
      <c r="AA384" s="161"/>
      <c r="AB384" s="161"/>
      <c r="AC384" s="161"/>
      <c r="AD384" s="161"/>
      <c r="AE384" s="161"/>
      <c r="AF384" s="161"/>
      <c r="AG384" s="161"/>
      <c r="AH384" s="161"/>
      <c r="AI384" s="161"/>
      <c r="AJ384" s="161"/>
      <c r="AK384" s="161"/>
      <c r="AL384" s="161"/>
      <c r="AM384" s="161"/>
      <c r="AN384" s="161"/>
      <c r="AO384" s="161"/>
      <c r="AP384" s="161"/>
      <c r="AQ384" s="161"/>
      <c r="AR384" s="161"/>
      <c r="AS384" s="161"/>
      <c r="AT384" s="161"/>
      <c r="AU384" s="161"/>
      <c r="AV384" s="161"/>
      <c r="AW384" s="161"/>
      <c r="AX384" s="161"/>
      <c r="AY384" s="161"/>
      <c r="AZ384" s="161"/>
      <c r="BA384" s="161"/>
      <c r="BB384" s="161"/>
      <c r="BC384" s="161"/>
      <c r="BD384" s="161"/>
      <c r="BE384" s="161"/>
      <c r="BF384" s="161"/>
      <c r="BG384" s="161"/>
    </row>
  </sheetData>
  <mergeCells count="1">
    <mergeCell ref="C3:D3"/>
  </mergeCells>
  <printOptions/>
  <pageMargins left="0.4724409448818898" right="0.31496062992125984" top="0.6692913385826772" bottom="0.9448818897637796" header="0.4724409448818898" footer="0.4724409448818898"/>
  <pageSetup fitToHeight="99" horizontalDpi="600" verticalDpi="600" orientation="portrait" paperSize="9" scale="80" r:id="rId1"/>
  <headerFooter alignWithMargins="0">
    <oddFooter>&amp;L&amp;F
&amp;A&amp;C&amp;P/&amp;N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Zdena</dc:creator>
  <cp:keywords/>
  <dc:description/>
  <cp:lastModifiedBy>Standa</cp:lastModifiedBy>
  <cp:lastPrinted>2016-04-18T07:04:12Z</cp:lastPrinted>
  <dcterms:created xsi:type="dcterms:W3CDTF">2016-04-16T03:39:48Z</dcterms:created>
  <dcterms:modified xsi:type="dcterms:W3CDTF">2019-01-28T08:03:42Z</dcterms:modified>
  <cp:category/>
  <cp:version/>
  <cp:contentType/>
  <cp:contentStatus/>
</cp:coreProperties>
</file>