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150" yWindow="0" windowWidth="23490" windowHeight="12570" tabRatio="839" activeTab="0"/>
  </bookViews>
  <sheets>
    <sheet name="Celkova_rekapitulace" sheetId="3" r:id="rId1"/>
    <sheet name="GABIONY_beton_dlažba" sheetId="4" r:id="rId2"/>
    <sheet name="rampa_lekarna" sheetId="2" r:id="rId3"/>
    <sheet name="rampa_propojovací" sheetId="5" r:id="rId4"/>
    <sheet name="stěna_lekarny" sheetId="10" r:id="rId5"/>
    <sheet name="mobiliář" sheetId="8" r:id="rId6"/>
    <sheet name="prelozka" sheetId="11" r:id="rId7"/>
    <sheet name="veřejné osvětlení" sheetId="6" r:id="rId8"/>
    <sheet name="sadove_upravy" sheetId="9" r:id="rId9"/>
    <sheet name="závlaha" sheetId="7" r:id="rId10"/>
  </sheets>
  <definedNames>
    <definedName name="______SO16" localSheetId="0" hidden="1">{#N/A,#N/A,TRUE,"Krycí list"}</definedName>
    <definedName name="______SO16" localSheetId="1" hidden="1">{#N/A,#N/A,TRUE,"Krycí list"}</definedName>
    <definedName name="______SO16" localSheetId="5" hidden="1">{#N/A,#N/A,TRUE,"Krycí list"}</definedName>
    <definedName name="______SO16" localSheetId="6" hidden="1">{#N/A,#N/A,TRUE,"Krycí list"}</definedName>
    <definedName name="______SO16" localSheetId="2" hidden="1">{#N/A,#N/A,TRUE,"Krycí list"}</definedName>
    <definedName name="______SO16" localSheetId="3" hidden="1">{#N/A,#N/A,TRUE,"Krycí list"}</definedName>
    <definedName name="______SO16" localSheetId="8" hidden="1">{#N/A,#N/A,TRUE,"Krycí list"}</definedName>
    <definedName name="______SO16" localSheetId="4" hidden="1">{#N/A,#N/A,TRUE,"Krycí list"}</definedName>
    <definedName name="______SO16" localSheetId="7" hidden="1">{#N/A,#N/A,TRUE,"Krycí list"}</definedName>
    <definedName name="______SO16" localSheetId="9" hidden="1">{#N/A,#N/A,TRUE,"Krycí list"}</definedName>
    <definedName name="______SO16" hidden="1">{#N/A,#N/A,TRUE,"Krycí list"}</definedName>
    <definedName name="____SO16" localSheetId="0" hidden="1">{#N/A,#N/A,TRUE,"Krycí list"}</definedName>
    <definedName name="____SO16" localSheetId="1" hidden="1">{#N/A,#N/A,TRUE,"Krycí list"}</definedName>
    <definedName name="____SO16" localSheetId="5" hidden="1">{#N/A,#N/A,TRUE,"Krycí list"}</definedName>
    <definedName name="____SO16" localSheetId="6" hidden="1">{#N/A,#N/A,TRUE,"Krycí list"}</definedName>
    <definedName name="____SO16" localSheetId="2" hidden="1">{#N/A,#N/A,TRUE,"Krycí list"}</definedName>
    <definedName name="____SO16" localSheetId="3" hidden="1">{#N/A,#N/A,TRUE,"Krycí list"}</definedName>
    <definedName name="____SO16" localSheetId="8" hidden="1">{#N/A,#N/A,TRUE,"Krycí list"}</definedName>
    <definedName name="____SO16" localSheetId="4" hidden="1">{#N/A,#N/A,TRUE,"Krycí list"}</definedName>
    <definedName name="____SO16" localSheetId="7" hidden="1">{#N/A,#N/A,TRUE,"Krycí list"}</definedName>
    <definedName name="____SO16" localSheetId="9" hidden="1">{#N/A,#N/A,TRUE,"Krycí list"}</definedName>
    <definedName name="____SO16" hidden="1">{#N/A,#N/A,TRUE,"Krycí list"}</definedName>
    <definedName name="___SO16" localSheetId="0" hidden="1">{#N/A,#N/A,TRUE,"Krycí list"}</definedName>
    <definedName name="___SO16" localSheetId="1" hidden="1">{#N/A,#N/A,TRUE,"Krycí list"}</definedName>
    <definedName name="___SO16" localSheetId="5" hidden="1">{#N/A,#N/A,TRUE,"Krycí list"}</definedName>
    <definedName name="___SO16" localSheetId="6" hidden="1">{#N/A,#N/A,TRUE,"Krycí list"}</definedName>
    <definedName name="___SO16" localSheetId="2" hidden="1">{#N/A,#N/A,TRUE,"Krycí list"}</definedName>
    <definedName name="___SO16" localSheetId="3" hidden="1">{#N/A,#N/A,TRUE,"Krycí list"}</definedName>
    <definedName name="___SO16" localSheetId="8" hidden="1">{#N/A,#N/A,TRUE,"Krycí list"}</definedName>
    <definedName name="___SO16" localSheetId="4" hidden="1">{#N/A,#N/A,TRUE,"Krycí list"}</definedName>
    <definedName name="___SO16" localSheetId="7" hidden="1">{#N/A,#N/A,TRUE,"Krycí list"}</definedName>
    <definedName name="___SO16" localSheetId="9" hidden="1">{#N/A,#N/A,TRUE,"Krycí list"}</definedName>
    <definedName name="___SO16" hidden="1">{#N/A,#N/A,TRUE,"Krycí list"}</definedName>
    <definedName name="__SO16" localSheetId="0" hidden="1">{#N/A,#N/A,TRUE,"Krycí list"}</definedName>
    <definedName name="__SO16" localSheetId="1" hidden="1">{#N/A,#N/A,TRUE,"Krycí list"}</definedName>
    <definedName name="__SO16" localSheetId="5" hidden="1">{#N/A,#N/A,TRUE,"Krycí list"}</definedName>
    <definedName name="__SO16" localSheetId="6" hidden="1">{#N/A,#N/A,TRUE,"Krycí list"}</definedName>
    <definedName name="__SO16" localSheetId="2" hidden="1">{#N/A,#N/A,TRUE,"Krycí list"}</definedName>
    <definedName name="__SO16" localSheetId="3" hidden="1">{#N/A,#N/A,TRUE,"Krycí list"}</definedName>
    <definedName name="__SO16" localSheetId="8" hidden="1">{#N/A,#N/A,TRUE,"Krycí list"}</definedName>
    <definedName name="__SO16" localSheetId="4" hidden="1">{#N/A,#N/A,TRUE,"Krycí list"}</definedName>
    <definedName name="__SO16" localSheetId="7" hidden="1">{#N/A,#N/A,TRUE,"Krycí list"}</definedName>
    <definedName name="__SO16" localSheetId="9" hidden="1">{#N/A,#N/A,TRUE,"Krycí list"}</definedName>
    <definedName name="__SO16" hidden="1">{#N/A,#N/A,TRUE,"Krycí list"}</definedName>
    <definedName name="_Fill" localSheetId="0" hidden="1">#REF!</definedName>
    <definedName name="_Fill" localSheetId="1" hidden="1">#REF!</definedName>
    <definedName name="_Fill" localSheetId="5" hidden="1">#REF!</definedName>
    <definedName name="_Fill" localSheetId="6" hidden="1">#REF!</definedName>
    <definedName name="_Fill" localSheetId="2" hidden="1">#REF!</definedName>
    <definedName name="_Fill" localSheetId="3" hidden="1">#REF!</definedName>
    <definedName name="_Fill" localSheetId="8" hidden="1">#REF!</definedName>
    <definedName name="_Fill" localSheetId="4" hidden="1">#REF!</definedName>
    <definedName name="_Fill" localSheetId="7" hidden="1">#REF!</definedName>
    <definedName name="_Fill" localSheetId="9" hidden="1">#REF!</definedName>
    <definedName name="_Fill" hidden="1">#REF!</definedName>
    <definedName name="_SO16" localSheetId="0" hidden="1">{#N/A,#N/A,TRUE,"Krycí list"}</definedName>
    <definedName name="_SO16" localSheetId="1" hidden="1">{#N/A,#N/A,TRUE,"Krycí list"}</definedName>
    <definedName name="_SO16" localSheetId="5" hidden="1">{#N/A,#N/A,TRUE,"Krycí list"}</definedName>
    <definedName name="_SO16" localSheetId="6" hidden="1">{#N/A,#N/A,TRUE,"Krycí list"}</definedName>
    <definedName name="_SO16" localSheetId="2" hidden="1">{#N/A,#N/A,TRUE,"Krycí list"}</definedName>
    <definedName name="_SO16" localSheetId="3" hidden="1">{#N/A,#N/A,TRUE,"Krycí list"}</definedName>
    <definedName name="_SO16" localSheetId="8" hidden="1">{#N/A,#N/A,TRUE,"Krycí list"}</definedName>
    <definedName name="_SO16" localSheetId="4" hidden="1">{#N/A,#N/A,TRUE,"Krycí list"}</definedName>
    <definedName name="_SO16" localSheetId="7" hidden="1">{#N/A,#N/A,TRUE,"Krycí list"}</definedName>
    <definedName name="_SO16" localSheetId="9" hidden="1">{#N/A,#N/A,TRUE,"Krycí list"}</definedName>
    <definedName name="_SO16" hidden="1">{#N/A,#N/A,TRUE,"Krycí list"}</definedName>
    <definedName name="A" localSheetId="0" hidden="1">{#N/A,#N/A,TRUE,"Krycí list"}</definedName>
    <definedName name="A" localSheetId="1" hidden="1">{#N/A,#N/A,TRUE,"Krycí list"}</definedName>
    <definedName name="A" localSheetId="5" hidden="1">{#N/A,#N/A,TRUE,"Krycí list"}</definedName>
    <definedName name="A" localSheetId="6" hidden="1">{#N/A,#N/A,TRUE,"Krycí list"}</definedName>
    <definedName name="A" localSheetId="2" hidden="1">{#N/A,#N/A,TRUE,"Krycí list"}</definedName>
    <definedName name="A" localSheetId="3" hidden="1">{#N/A,#N/A,TRUE,"Krycí list"}</definedName>
    <definedName name="A" localSheetId="8" hidden="1">{#N/A,#N/A,TRUE,"Krycí list"}</definedName>
    <definedName name="A" localSheetId="4" hidden="1">{#N/A,#N/A,TRUE,"Krycí list"}</definedName>
    <definedName name="A" localSheetId="7" hidden="1">{#N/A,#N/A,TRUE,"Krycí list"}</definedName>
    <definedName name="A" localSheetId="9" hidden="1">{#N/A,#N/A,TRUE,"Krycí list"}</definedName>
    <definedName name="A" hidden="1">{#N/A,#N/A,TRUE,"Krycí list"}</definedName>
    <definedName name="aaa" localSheetId="0" hidden="1">{#N/A,#N/A,TRUE,"Krycí list"}</definedName>
    <definedName name="aaa" localSheetId="1" hidden="1">{#N/A,#N/A,TRUE,"Krycí list"}</definedName>
    <definedName name="aaa" localSheetId="5" hidden="1">{#N/A,#N/A,TRUE,"Krycí list"}</definedName>
    <definedName name="aaa" localSheetId="6" hidden="1">{#N/A,#N/A,TRUE,"Krycí list"}</definedName>
    <definedName name="aaa" localSheetId="2" hidden="1">{#N/A,#N/A,TRUE,"Krycí list"}</definedName>
    <definedName name="aaa" localSheetId="3" hidden="1">{#N/A,#N/A,TRUE,"Krycí list"}</definedName>
    <definedName name="aaa" localSheetId="8" hidden="1">{#N/A,#N/A,TRUE,"Krycí list"}</definedName>
    <definedName name="aaa" localSheetId="4" hidden="1">{#N/A,#N/A,TRUE,"Krycí list"}</definedName>
    <definedName name="aaa" localSheetId="7" hidden="1">{#N/A,#N/A,TRUE,"Krycí list"}</definedName>
    <definedName name="aaa" localSheetId="9" hidden="1">{#N/A,#N/A,TRUE,"Krycí list"}</definedName>
    <definedName name="aaa" hidden="1">{#N/A,#N/A,TRUE,"Krycí list"}</definedName>
    <definedName name="aaaaaaaa" localSheetId="0" hidden="1">{#N/A,#N/A,TRUE,"Krycí list"}</definedName>
    <definedName name="aaaaaaaa" localSheetId="1" hidden="1">{#N/A,#N/A,TRUE,"Krycí list"}</definedName>
    <definedName name="aaaaaaaa" localSheetId="5" hidden="1">{#N/A,#N/A,TRUE,"Krycí list"}</definedName>
    <definedName name="aaaaaaaa" localSheetId="6" hidden="1">{#N/A,#N/A,TRUE,"Krycí list"}</definedName>
    <definedName name="aaaaaaaa" localSheetId="2" hidden="1">{#N/A,#N/A,TRUE,"Krycí list"}</definedName>
    <definedName name="aaaaaaaa" localSheetId="3" hidden="1">{#N/A,#N/A,TRUE,"Krycí list"}</definedName>
    <definedName name="aaaaaaaa" localSheetId="8" hidden="1">{#N/A,#N/A,TRUE,"Krycí list"}</definedName>
    <definedName name="aaaaaaaa" localSheetId="4" hidden="1">{#N/A,#N/A,TRUE,"Krycí list"}</definedName>
    <definedName name="aaaaaaaa" localSheetId="7" hidden="1">{#N/A,#N/A,TRUE,"Krycí list"}</definedName>
    <definedName name="aaaaaaaa" localSheetId="9" hidden="1">{#N/A,#N/A,TRUE,"Krycí list"}</definedName>
    <definedName name="aaaaaaaa" hidden="1">{#N/A,#N/A,TRUE,"Krycí list"}</definedName>
    <definedName name="ababababa" localSheetId="0" hidden="1">{#N/A,#N/A,TRUE,"Krycí list"}</definedName>
    <definedName name="ababababa" localSheetId="1" hidden="1">{#N/A,#N/A,TRUE,"Krycí list"}</definedName>
    <definedName name="ababababa" localSheetId="5" hidden="1">{#N/A,#N/A,TRUE,"Krycí list"}</definedName>
    <definedName name="ababababa" localSheetId="6" hidden="1">{#N/A,#N/A,TRUE,"Krycí list"}</definedName>
    <definedName name="ababababa" localSheetId="2" hidden="1">{#N/A,#N/A,TRUE,"Krycí list"}</definedName>
    <definedName name="ababababa" localSheetId="3" hidden="1">{#N/A,#N/A,TRUE,"Krycí list"}</definedName>
    <definedName name="ababababa" localSheetId="8" hidden="1">{#N/A,#N/A,TRUE,"Krycí list"}</definedName>
    <definedName name="ababababa" localSheetId="4" hidden="1">{#N/A,#N/A,TRUE,"Krycí list"}</definedName>
    <definedName name="ababababa" localSheetId="7" hidden="1">{#N/A,#N/A,TRUE,"Krycí list"}</definedName>
    <definedName name="ababababa" localSheetId="9" hidden="1">{#N/A,#N/A,TRUE,"Krycí list"}</definedName>
    <definedName name="ababababa" hidden="1">{#N/A,#N/A,TRUE,"Krycí list"}</definedName>
    <definedName name="Albertovec" localSheetId="0" hidden="1">{#N/A,#N/A,TRUE,"Krycí list"}</definedName>
    <definedName name="Albertovec" localSheetId="1" hidden="1">{#N/A,#N/A,TRUE,"Krycí list"}</definedName>
    <definedName name="Albertovec" localSheetId="5" hidden="1">{#N/A,#N/A,TRUE,"Krycí list"}</definedName>
    <definedName name="Albertovec" localSheetId="6" hidden="1">{#N/A,#N/A,TRUE,"Krycí list"}</definedName>
    <definedName name="Albertovec" localSheetId="2" hidden="1">{#N/A,#N/A,TRUE,"Krycí list"}</definedName>
    <definedName name="Albertovec" localSheetId="3" hidden="1">{#N/A,#N/A,TRUE,"Krycí list"}</definedName>
    <definedName name="Albertovec" localSheetId="8" hidden="1">{#N/A,#N/A,TRUE,"Krycí list"}</definedName>
    <definedName name="Albertovec" localSheetId="4" hidden="1">{#N/A,#N/A,TRUE,"Krycí list"}</definedName>
    <definedName name="Albertovec" localSheetId="7" hidden="1">{#N/A,#N/A,TRUE,"Krycí list"}</definedName>
    <definedName name="Albertovec" localSheetId="9" hidden="1">{#N/A,#N/A,TRUE,"Krycí list"}</definedName>
    <definedName name="Albertovec" hidden="1">{#N/A,#N/A,TRUE,"Krycí list"}</definedName>
    <definedName name="B" localSheetId="0" hidden="1">{#N/A,#N/A,TRUE,"Krycí list"}</definedName>
    <definedName name="B" localSheetId="1" hidden="1">{#N/A,#N/A,TRUE,"Krycí list"}</definedName>
    <definedName name="B" localSheetId="5" hidden="1">{#N/A,#N/A,TRUE,"Krycí list"}</definedName>
    <definedName name="B" localSheetId="6" hidden="1">{#N/A,#N/A,TRUE,"Krycí list"}</definedName>
    <definedName name="B" localSheetId="2" hidden="1">{#N/A,#N/A,TRUE,"Krycí list"}</definedName>
    <definedName name="B" localSheetId="3" hidden="1">{#N/A,#N/A,TRUE,"Krycí list"}</definedName>
    <definedName name="B" localSheetId="8" hidden="1">{#N/A,#N/A,TRUE,"Krycí list"}</definedName>
    <definedName name="B" localSheetId="4" hidden="1">{#N/A,#N/A,TRUE,"Krycí list"}</definedName>
    <definedName name="B" localSheetId="7" hidden="1">{#N/A,#N/A,TRUE,"Krycí list"}</definedName>
    <definedName name="B" localSheetId="9" hidden="1">{#N/A,#N/A,TRUE,"Krycí list"}</definedName>
    <definedName name="B" hidden="1">{#N/A,#N/A,TRUE,"Krycí list"}</definedName>
    <definedName name="elktro_1" localSheetId="0" hidden="1">{#N/A,#N/A,TRUE,"Krycí list"}</definedName>
    <definedName name="elktro_1" localSheetId="1" hidden="1">{#N/A,#N/A,TRUE,"Krycí list"}</definedName>
    <definedName name="elktro_1" localSheetId="5" hidden="1">{#N/A,#N/A,TRUE,"Krycí list"}</definedName>
    <definedName name="elktro_1" localSheetId="6" hidden="1">{#N/A,#N/A,TRUE,"Krycí list"}</definedName>
    <definedName name="elktro_1" localSheetId="2" hidden="1">{#N/A,#N/A,TRUE,"Krycí list"}</definedName>
    <definedName name="elktro_1" localSheetId="3" hidden="1">{#N/A,#N/A,TRUE,"Krycí list"}</definedName>
    <definedName name="elktro_1" localSheetId="8" hidden="1">{#N/A,#N/A,TRUE,"Krycí list"}</definedName>
    <definedName name="elktro_1" localSheetId="4" hidden="1">{#N/A,#N/A,TRUE,"Krycí list"}</definedName>
    <definedName name="elktro_1" localSheetId="7" hidden="1">{#N/A,#N/A,TRUE,"Krycí list"}</definedName>
    <definedName name="elktro_1" localSheetId="9" hidden="1">{#N/A,#N/A,TRUE,"Krycí list"}</definedName>
    <definedName name="elktro_1" hidden="1">{#N/A,#N/A,TRUE,"Krycí list"}</definedName>
    <definedName name="FVCWREC" localSheetId="0" hidden="1">{#N/A,#N/A,TRUE,"Krycí list"}</definedName>
    <definedName name="FVCWREC" localSheetId="1" hidden="1">{#N/A,#N/A,TRUE,"Krycí list"}</definedName>
    <definedName name="FVCWREC" localSheetId="5" hidden="1">{#N/A,#N/A,TRUE,"Krycí list"}</definedName>
    <definedName name="FVCWREC" localSheetId="6" hidden="1">{#N/A,#N/A,TRUE,"Krycí list"}</definedName>
    <definedName name="FVCWREC" localSheetId="2" hidden="1">{#N/A,#N/A,TRUE,"Krycí list"}</definedName>
    <definedName name="FVCWREC" localSheetId="3" hidden="1">{#N/A,#N/A,TRUE,"Krycí list"}</definedName>
    <definedName name="FVCWREC" localSheetId="8" hidden="1">{#N/A,#N/A,TRUE,"Krycí list"}</definedName>
    <definedName name="FVCWREC" localSheetId="4" hidden="1">{#N/A,#N/A,TRUE,"Krycí list"}</definedName>
    <definedName name="FVCWREC" localSheetId="7" hidden="1">{#N/A,#N/A,TRUE,"Krycí list"}</definedName>
    <definedName name="FVCWREC" localSheetId="9" hidden="1">{#N/A,#N/A,TRUE,"Krycí list"}</definedName>
    <definedName name="FVCWREC" hidden="1">{#N/A,#N/A,TRUE,"Krycí list"}</definedName>
    <definedName name="mila" localSheetId="0" hidden="1">{#N/A,#N/A,TRUE,"Krycí list"}</definedName>
    <definedName name="mila" localSheetId="1" hidden="1">{#N/A,#N/A,TRUE,"Krycí list"}</definedName>
    <definedName name="mila" localSheetId="5" hidden="1">{#N/A,#N/A,TRUE,"Krycí list"}</definedName>
    <definedName name="mila" localSheetId="6" hidden="1">{#N/A,#N/A,TRUE,"Krycí list"}</definedName>
    <definedName name="mila" localSheetId="2" hidden="1">{#N/A,#N/A,TRUE,"Krycí list"}</definedName>
    <definedName name="mila" localSheetId="3" hidden="1">{#N/A,#N/A,TRUE,"Krycí list"}</definedName>
    <definedName name="mila" localSheetId="8" hidden="1">{#N/A,#N/A,TRUE,"Krycí list"}</definedName>
    <definedName name="mila" localSheetId="4" hidden="1">{#N/A,#N/A,TRUE,"Krycí list"}</definedName>
    <definedName name="mila" localSheetId="7" hidden="1">{#N/A,#N/A,TRUE,"Krycí list"}</definedName>
    <definedName name="mila" localSheetId="9" hidden="1">{#N/A,#N/A,TRUE,"Krycí list"}</definedName>
    <definedName name="mila" hidden="1">{#N/A,#N/A,TRUE,"Krycí list"}</definedName>
    <definedName name="nový" localSheetId="0" hidden="1">{#N/A,#N/A,TRUE,"Krycí list"}</definedName>
    <definedName name="nový" localSheetId="1" hidden="1">{#N/A,#N/A,TRUE,"Krycí list"}</definedName>
    <definedName name="nový" localSheetId="5" hidden="1">{#N/A,#N/A,TRUE,"Krycí list"}</definedName>
    <definedName name="nový" localSheetId="6" hidden="1">{#N/A,#N/A,TRUE,"Krycí list"}</definedName>
    <definedName name="nový" localSheetId="2" hidden="1">{#N/A,#N/A,TRUE,"Krycí list"}</definedName>
    <definedName name="nový" localSheetId="3" hidden="1">{#N/A,#N/A,TRUE,"Krycí list"}</definedName>
    <definedName name="nový" localSheetId="8" hidden="1">{#N/A,#N/A,TRUE,"Krycí list"}</definedName>
    <definedName name="nový" localSheetId="4" hidden="1">{#N/A,#N/A,TRUE,"Krycí list"}</definedName>
    <definedName name="nový" localSheetId="7" hidden="1">{#N/A,#N/A,TRUE,"Krycí list"}</definedName>
    <definedName name="nový" localSheetId="9" hidden="1">{#N/A,#N/A,TRUE,"Krycí list"}</definedName>
    <definedName name="nový" hidden="1">{#N/A,#N/A,TRUE,"Krycí list"}</definedName>
    <definedName name="_xlnm.Print_Area" localSheetId="0">'Celkova_rekapitulace'!$A$1:$D$43</definedName>
    <definedName name="_xlnm.Print_Area" localSheetId="1">'GABIONY_beton_dlažba'!$A$1:$G$189</definedName>
    <definedName name="_xlnm.Print_Area" localSheetId="5">'mobiliář'!$A$1:$G$30</definedName>
    <definedName name="_xlnm.Print_Area" localSheetId="6">'prelozka'!$A$1:$G$25</definedName>
    <definedName name="_xlnm.Print_Area" localSheetId="2">'rampa_lekarna'!$A$1:$G$129</definedName>
    <definedName name="_xlnm.Print_Area" localSheetId="3">'rampa_propojovací'!$A$1:$G$132</definedName>
    <definedName name="_xlnm.Print_Area" localSheetId="8">'sadove_upravy'!$A$1:$G$208</definedName>
    <definedName name="_xlnm.Print_Area" localSheetId="4">'stěna_lekarny'!$A$1:$G$68</definedName>
    <definedName name="_xlnm.Print_Area" localSheetId="7">'veřejné osvětlení'!$A$1:$G$95</definedName>
    <definedName name="_xlnm.Print_Area" localSheetId="9">'závlaha'!$A$1:$G$85</definedName>
    <definedName name="rozp" localSheetId="0" hidden="1">{#N/A,#N/A,TRUE,"Krycí list"}</definedName>
    <definedName name="rozp" localSheetId="1" hidden="1">{#N/A,#N/A,TRUE,"Krycí list"}</definedName>
    <definedName name="rozp" localSheetId="5" hidden="1">{#N/A,#N/A,TRUE,"Krycí list"}</definedName>
    <definedName name="rozp" localSheetId="6" hidden="1">{#N/A,#N/A,TRUE,"Krycí list"}</definedName>
    <definedName name="rozp" localSheetId="2" hidden="1">{#N/A,#N/A,TRUE,"Krycí list"}</definedName>
    <definedName name="rozp" localSheetId="3" hidden="1">{#N/A,#N/A,TRUE,"Krycí list"}</definedName>
    <definedName name="rozp" localSheetId="8" hidden="1">{#N/A,#N/A,TRUE,"Krycí list"}</definedName>
    <definedName name="rozp" localSheetId="4" hidden="1">{#N/A,#N/A,TRUE,"Krycí list"}</definedName>
    <definedName name="rozp" localSheetId="7" hidden="1">{#N/A,#N/A,TRUE,"Krycí list"}</definedName>
    <definedName name="rozp" localSheetId="9" hidden="1">{#N/A,#N/A,TRUE,"Krycí list"}</definedName>
    <definedName name="rozp" hidden="1">{#N/A,#N/A,TRUE,"Krycí list"}</definedName>
    <definedName name="smaz" localSheetId="0" hidden="1">{#N/A,#N/A,TRUE,"Krycí list"}</definedName>
    <definedName name="smaz" localSheetId="1" hidden="1">{#N/A,#N/A,TRUE,"Krycí list"}</definedName>
    <definedName name="smaz" localSheetId="5" hidden="1">{#N/A,#N/A,TRUE,"Krycí list"}</definedName>
    <definedName name="smaz" localSheetId="6" hidden="1">{#N/A,#N/A,TRUE,"Krycí list"}</definedName>
    <definedName name="smaz" localSheetId="2" hidden="1">{#N/A,#N/A,TRUE,"Krycí list"}</definedName>
    <definedName name="smaz" localSheetId="3" hidden="1">{#N/A,#N/A,TRUE,"Krycí list"}</definedName>
    <definedName name="smaz" localSheetId="8" hidden="1">{#N/A,#N/A,TRUE,"Krycí list"}</definedName>
    <definedName name="smaz" localSheetId="4" hidden="1">{#N/A,#N/A,TRUE,"Krycí list"}</definedName>
    <definedName name="smaz" localSheetId="7" hidden="1">{#N/A,#N/A,TRUE,"Krycí list"}</definedName>
    <definedName name="smaz" localSheetId="9" hidden="1">{#N/A,#N/A,TRUE,"Krycí list"}</definedName>
    <definedName name="smaz" hidden="1">{#N/A,#N/A,TRUE,"Krycí list"}</definedName>
    <definedName name="soupis" localSheetId="0" hidden="1">{#N/A,#N/A,TRUE,"Krycí list"}</definedName>
    <definedName name="soupis" localSheetId="1" hidden="1">{#N/A,#N/A,TRUE,"Krycí list"}</definedName>
    <definedName name="soupis" localSheetId="5" hidden="1">{#N/A,#N/A,TRUE,"Krycí list"}</definedName>
    <definedName name="soupis" localSheetId="6" hidden="1">{#N/A,#N/A,TRUE,"Krycí list"}</definedName>
    <definedName name="soupis" localSheetId="2" hidden="1">{#N/A,#N/A,TRUE,"Krycí list"}</definedName>
    <definedName name="soupis" localSheetId="3" hidden="1">{#N/A,#N/A,TRUE,"Krycí list"}</definedName>
    <definedName name="soupis" localSheetId="8" hidden="1">{#N/A,#N/A,TRUE,"Krycí list"}</definedName>
    <definedName name="soupis" localSheetId="4" hidden="1">{#N/A,#N/A,TRUE,"Krycí list"}</definedName>
    <definedName name="soupis" localSheetId="7" hidden="1">{#N/A,#N/A,TRUE,"Krycí list"}</definedName>
    <definedName name="soupis" localSheetId="9" hidden="1">{#N/A,#N/A,TRUE,"Krycí list"}</definedName>
    <definedName name="soupis" hidden="1">{#N/A,#N/A,TRUE,"Krycí list"}</definedName>
    <definedName name="SSSSSS" localSheetId="0" hidden="1">{#N/A,#N/A,TRUE,"Krycí list"}</definedName>
    <definedName name="SSSSSS" localSheetId="1" hidden="1">{#N/A,#N/A,TRUE,"Krycí list"}</definedName>
    <definedName name="SSSSSS" localSheetId="5" hidden="1">{#N/A,#N/A,TRUE,"Krycí list"}</definedName>
    <definedName name="SSSSSS" localSheetId="6" hidden="1">{#N/A,#N/A,TRUE,"Krycí list"}</definedName>
    <definedName name="SSSSSS" localSheetId="2" hidden="1">{#N/A,#N/A,TRUE,"Krycí list"}</definedName>
    <definedName name="SSSSSS" localSheetId="3" hidden="1">{#N/A,#N/A,TRUE,"Krycí list"}</definedName>
    <definedName name="SSSSSS" localSheetId="8" hidden="1">{#N/A,#N/A,TRUE,"Krycí list"}</definedName>
    <definedName name="SSSSSS" localSheetId="4" hidden="1">{#N/A,#N/A,TRUE,"Krycí list"}</definedName>
    <definedName name="SSSSSS" localSheetId="7" hidden="1">{#N/A,#N/A,TRUE,"Krycí list"}</definedName>
    <definedName name="SSSSSS" localSheetId="9" hidden="1">{#N/A,#N/A,TRUE,"Krycí list"}</definedName>
    <definedName name="SSSSSS" hidden="1">{#N/A,#N/A,TRUE,"Krycí list"}</definedName>
    <definedName name="summary" localSheetId="0" hidden="1">{#N/A,#N/A,TRUE,"Krycí list"}</definedName>
    <definedName name="summary" localSheetId="1" hidden="1">{#N/A,#N/A,TRUE,"Krycí list"}</definedName>
    <definedName name="summary" localSheetId="5" hidden="1">{#N/A,#N/A,TRUE,"Krycí list"}</definedName>
    <definedName name="summary" localSheetId="6" hidden="1">{#N/A,#N/A,TRUE,"Krycí list"}</definedName>
    <definedName name="summary" localSheetId="2" hidden="1">{#N/A,#N/A,TRUE,"Krycí list"}</definedName>
    <definedName name="summary" localSheetId="3" hidden="1">{#N/A,#N/A,TRUE,"Krycí list"}</definedName>
    <definedName name="summary" localSheetId="8" hidden="1">{#N/A,#N/A,TRUE,"Krycí list"}</definedName>
    <definedName name="summary" localSheetId="4" hidden="1">{#N/A,#N/A,TRUE,"Krycí list"}</definedName>
    <definedName name="summary" localSheetId="7" hidden="1">{#N/A,#N/A,TRUE,"Krycí list"}</definedName>
    <definedName name="summary" localSheetId="9" hidden="1">{#N/A,#N/A,TRUE,"Krycí list"}</definedName>
    <definedName name="summary" hidden="1">{#N/A,#N/A,TRUE,"Krycí list"}</definedName>
    <definedName name="VIZA" localSheetId="0" hidden="1">{#N/A,#N/A,TRUE,"Krycí list"}</definedName>
    <definedName name="VIZA" localSheetId="1" hidden="1">{#N/A,#N/A,TRUE,"Krycí list"}</definedName>
    <definedName name="VIZA" localSheetId="5" hidden="1">{#N/A,#N/A,TRUE,"Krycí list"}</definedName>
    <definedName name="VIZA" localSheetId="6" hidden="1">{#N/A,#N/A,TRUE,"Krycí list"}</definedName>
    <definedName name="VIZA" localSheetId="2" hidden="1">{#N/A,#N/A,TRUE,"Krycí list"}</definedName>
    <definedName name="VIZA" localSheetId="3" hidden="1">{#N/A,#N/A,TRUE,"Krycí list"}</definedName>
    <definedName name="VIZA" localSheetId="8" hidden="1">{#N/A,#N/A,TRUE,"Krycí list"}</definedName>
    <definedName name="VIZA" localSheetId="4" hidden="1">{#N/A,#N/A,TRUE,"Krycí list"}</definedName>
    <definedName name="VIZA" localSheetId="7" hidden="1">{#N/A,#N/A,TRUE,"Krycí list"}</definedName>
    <definedName name="VIZA" localSheetId="9" hidden="1">{#N/A,#N/A,TRUE,"Krycí list"}</definedName>
    <definedName name="VIZA" hidden="1">{#N/A,#N/A,TRUE,"Krycí list"}</definedName>
    <definedName name="VIZA12" localSheetId="0" hidden="1">{#N/A,#N/A,TRUE,"Krycí list"}</definedName>
    <definedName name="VIZA12" localSheetId="1" hidden="1">{#N/A,#N/A,TRUE,"Krycí list"}</definedName>
    <definedName name="VIZA12" localSheetId="5" hidden="1">{#N/A,#N/A,TRUE,"Krycí list"}</definedName>
    <definedName name="VIZA12" localSheetId="6" hidden="1">{#N/A,#N/A,TRUE,"Krycí list"}</definedName>
    <definedName name="VIZA12" localSheetId="2" hidden="1">{#N/A,#N/A,TRUE,"Krycí list"}</definedName>
    <definedName name="VIZA12" localSheetId="3" hidden="1">{#N/A,#N/A,TRUE,"Krycí list"}</definedName>
    <definedName name="VIZA12" localSheetId="8" hidden="1">{#N/A,#N/A,TRUE,"Krycí list"}</definedName>
    <definedName name="VIZA12" localSheetId="4" hidden="1">{#N/A,#N/A,TRUE,"Krycí list"}</definedName>
    <definedName name="VIZA12" localSheetId="7" hidden="1">{#N/A,#N/A,TRUE,"Krycí list"}</definedName>
    <definedName name="VIZA12" localSheetId="9" hidden="1">{#N/A,#N/A,TRUE,"Krycí list"}</definedName>
    <definedName name="VIZA12" hidden="1">{#N/A,#N/A,TRUE,"Krycí list"}</definedName>
    <definedName name="viza2" localSheetId="0" hidden="1">{#N/A,#N/A,TRUE,"Krycí list"}</definedName>
    <definedName name="viza2" localSheetId="1" hidden="1">{#N/A,#N/A,TRUE,"Krycí list"}</definedName>
    <definedName name="viza2" localSheetId="5" hidden="1">{#N/A,#N/A,TRUE,"Krycí list"}</definedName>
    <definedName name="viza2" localSheetId="6" hidden="1">{#N/A,#N/A,TRUE,"Krycí list"}</definedName>
    <definedName name="viza2" localSheetId="2" hidden="1">{#N/A,#N/A,TRUE,"Krycí list"}</definedName>
    <definedName name="viza2" localSheetId="3" hidden="1">{#N/A,#N/A,TRUE,"Krycí list"}</definedName>
    <definedName name="viza2" localSheetId="8" hidden="1">{#N/A,#N/A,TRUE,"Krycí list"}</definedName>
    <definedName name="viza2" localSheetId="4" hidden="1">{#N/A,#N/A,TRUE,"Krycí list"}</definedName>
    <definedName name="viza2" localSheetId="7" hidden="1">{#N/A,#N/A,TRUE,"Krycí list"}</definedName>
    <definedName name="viza2" localSheetId="9" hidden="1">{#N/A,#N/A,TRUE,"Krycí list"}</definedName>
    <definedName name="viza2" hidden="1">{#N/A,#N/A,TRUE,"Krycí list"}</definedName>
    <definedName name="VN" localSheetId="0" hidden="1">{#N/A,#N/A,TRUE,"Krycí list"}</definedName>
    <definedName name="VN" localSheetId="1" hidden="1">{#N/A,#N/A,TRUE,"Krycí list"}</definedName>
    <definedName name="VN" localSheetId="5" hidden="1">{#N/A,#N/A,TRUE,"Krycí list"}</definedName>
    <definedName name="VN" localSheetId="6" hidden="1">{#N/A,#N/A,TRUE,"Krycí list"}</definedName>
    <definedName name="VN" localSheetId="2" hidden="1">{#N/A,#N/A,TRUE,"Krycí list"}</definedName>
    <definedName name="VN" localSheetId="3" hidden="1">{#N/A,#N/A,TRUE,"Krycí list"}</definedName>
    <definedName name="VN" localSheetId="8" hidden="1">{#N/A,#N/A,TRUE,"Krycí list"}</definedName>
    <definedName name="VN" localSheetId="4" hidden="1">{#N/A,#N/A,TRUE,"Krycí list"}</definedName>
    <definedName name="VN" localSheetId="7" hidden="1">{#N/A,#N/A,TRUE,"Krycí list"}</definedName>
    <definedName name="VN" localSheetId="9" hidden="1">{#N/A,#N/A,TRUE,"Krycí list"}</definedName>
    <definedName name="VN" hidden="1">{#N/A,#N/A,TRUE,"Krycí list"}</definedName>
    <definedName name="wrn.Kontrolní._.rozpočet." localSheetId="0" hidden="1">{#N/A,#N/A,TRUE,"Krycí list"}</definedName>
    <definedName name="wrn.Kontrolní._.rozpočet." localSheetId="1" hidden="1">{#N/A,#N/A,TRUE,"Krycí list"}</definedName>
    <definedName name="wrn.Kontrolní._.rozpočet." localSheetId="5" hidden="1">{#N/A,#N/A,TRUE,"Krycí list"}</definedName>
    <definedName name="wrn.Kontrolní._.rozpočet." localSheetId="6" hidden="1">{#N/A,#N/A,TRUE,"Krycí list"}</definedName>
    <definedName name="wrn.Kontrolní._.rozpočet." localSheetId="2" hidden="1">{#N/A,#N/A,TRUE,"Krycí list"}</definedName>
    <definedName name="wrn.Kontrolní._.rozpočet." localSheetId="3" hidden="1">{#N/A,#N/A,TRUE,"Krycí list"}</definedName>
    <definedName name="wrn.Kontrolní._.rozpočet." localSheetId="8" hidden="1">{#N/A,#N/A,TRUE,"Krycí list"}</definedName>
    <definedName name="wrn.Kontrolní._.rozpočet." localSheetId="4" hidden="1">{#N/A,#N/A,TRUE,"Krycí list"}</definedName>
    <definedName name="wrn.Kontrolní._.rozpočet." localSheetId="7" hidden="1">{#N/A,#N/A,TRUE,"Krycí list"}</definedName>
    <definedName name="wrn.Kontrolní._.rozpočet." localSheetId="9" hidden="1">{#N/A,#N/A,TRUE,"Krycí list"}</definedName>
    <definedName name="wrn.Kontrolní._.rozpočet." hidden="1">{#N/A,#N/A,TRUE,"Krycí list"}</definedName>
    <definedName name="wrn.Kontrolní._.rozpoeet." localSheetId="0" hidden="1">{#N/A,#N/A,TRUE,"Krycí list"}</definedName>
    <definedName name="wrn.Kontrolní._.rozpoeet." localSheetId="1" hidden="1">{#N/A,#N/A,TRUE,"Krycí list"}</definedName>
    <definedName name="wrn.Kontrolní._.rozpoeet." localSheetId="5" hidden="1">{#N/A,#N/A,TRUE,"Krycí list"}</definedName>
    <definedName name="wrn.Kontrolní._.rozpoeet." localSheetId="6" hidden="1">{#N/A,#N/A,TRUE,"Krycí list"}</definedName>
    <definedName name="wrn.Kontrolní._.rozpoeet." localSheetId="2" hidden="1">{#N/A,#N/A,TRUE,"Krycí list"}</definedName>
    <definedName name="wrn.Kontrolní._.rozpoeet." localSheetId="3" hidden="1">{#N/A,#N/A,TRUE,"Krycí list"}</definedName>
    <definedName name="wrn.Kontrolní._.rozpoeet." localSheetId="8" hidden="1">{#N/A,#N/A,TRUE,"Krycí list"}</definedName>
    <definedName name="wrn.Kontrolní._.rozpoeet." localSheetId="4" hidden="1">{#N/A,#N/A,TRUE,"Krycí list"}</definedName>
    <definedName name="wrn.Kontrolní._.rozpoeet." localSheetId="7" hidden="1">{#N/A,#N/A,TRUE,"Krycí list"}</definedName>
    <definedName name="wrn.Kontrolní._.rozpoeet." localSheetId="9" hidden="1">{#N/A,#N/A,TRUE,"Krycí list"}</definedName>
    <definedName name="wrn.Kontrolní._.rozpoeet." hidden="1">{#N/A,#N/A,TRUE,"Krycí list"}</definedName>
    <definedName name="_xlnm.Print_Titles" localSheetId="0">'Celkova_rekapitulace'!$1:$5</definedName>
    <definedName name="_xlnm.Print_Titles" localSheetId="1">'GABIONY_beton_dlažba'!$1:$6</definedName>
    <definedName name="_xlnm.Print_Titles" localSheetId="2">'rampa_lekarna'!$1:$6</definedName>
    <definedName name="_xlnm.Print_Titles" localSheetId="3">'rampa_propojovací'!$1:$6</definedName>
    <definedName name="_xlnm.Print_Titles" localSheetId="4">'stěna_lekarny'!$1:$6</definedName>
    <definedName name="_xlnm.Print_Titles" localSheetId="5">'mobiliář'!$1:$6</definedName>
    <definedName name="_xlnm.Print_Titles" localSheetId="6">'prelozka'!$1:$6</definedName>
    <definedName name="_xlnm.Print_Titles" localSheetId="7">'veřejné osvětlení'!$1:$6</definedName>
    <definedName name="_xlnm.Print_Titles" localSheetId="8">'sadove_upravy'!$1:$6</definedName>
    <definedName name="_xlnm.Print_Titles" localSheetId="9">'závlaha'!$1:$6</definedName>
  </definedNames>
  <calcPr calcId="125725"/>
</workbook>
</file>

<file path=xl/sharedStrings.xml><?xml version="1.0" encoding="utf-8"?>
<sst xmlns="http://schemas.openxmlformats.org/spreadsheetml/2006/main" count="2029" uniqueCount="1035">
  <si>
    <t>Projektant:</t>
  </si>
  <si>
    <t>Soupis výkonů</t>
  </si>
  <si>
    <t>Investor:</t>
  </si>
  <si>
    <t>Zpracoval: 
Z. Sychrová</t>
  </si>
  <si>
    <t>Projekt :</t>
  </si>
  <si>
    <t>Číslo pozice</t>
  </si>
  <si>
    <t>SOUPIS VÝKONŮ</t>
  </si>
  <si>
    <t>Měrná jednotka</t>
  </si>
  <si>
    <t>Množství</t>
  </si>
  <si>
    <t>Jednotková cena</t>
  </si>
  <si>
    <t>Cena CZK bez DPH</t>
  </si>
  <si>
    <t>Poznámka:</t>
  </si>
  <si>
    <t>REKAPITULACE</t>
  </si>
  <si>
    <t>3</t>
  </si>
  <si>
    <t>CELKEM SOUPIS VÝKONŮ bez DPH</t>
  </si>
  <si>
    <t>1</t>
  </si>
  <si>
    <t>9</t>
  </si>
  <si>
    <t>Bourání</t>
  </si>
  <si>
    <t>m2</t>
  </si>
  <si>
    <t>m3</t>
  </si>
  <si>
    <t>ks</t>
  </si>
  <si>
    <t>m</t>
  </si>
  <si>
    <t>Odvoz suti a vybouraných hmot na skládku nebo meziskládku do 1 km se složením</t>
  </si>
  <si>
    <t>t</t>
  </si>
  <si>
    <t>CELKEM</t>
  </si>
  <si>
    <t>2</t>
  </si>
  <si>
    <t>2.3</t>
  </si>
  <si>
    <t>4</t>
  </si>
  <si>
    <t>3.1</t>
  </si>
  <si>
    <t>3.2</t>
  </si>
  <si>
    <t>3.3</t>
  </si>
  <si>
    <t>3.4</t>
  </si>
  <si>
    <t>3.5</t>
  </si>
  <si>
    <t>3.6</t>
  </si>
  <si>
    <t>3.7</t>
  </si>
  <si>
    <t>3.8</t>
  </si>
  <si>
    <t>Poznámka</t>
  </si>
  <si>
    <t>3.9</t>
  </si>
  <si>
    <t>4.1</t>
  </si>
  <si>
    <t>5</t>
  </si>
  <si>
    <t>5.1</t>
  </si>
  <si>
    <t>6</t>
  </si>
  <si>
    <t>6.1</t>
  </si>
  <si>
    <t>6.2</t>
  </si>
  <si>
    <t>7</t>
  </si>
  <si>
    <t>7.1</t>
  </si>
  <si>
    <t>7.2</t>
  </si>
  <si>
    <t>7.3</t>
  </si>
  <si>
    <t>7.4</t>
  </si>
  <si>
    <t>%</t>
  </si>
  <si>
    <t>soubor</t>
  </si>
  <si>
    <t>771</t>
  </si>
  <si>
    <t>Jiné</t>
  </si>
  <si>
    <t>CELKEM SOUPIS VÝKONŮ</t>
  </si>
  <si>
    <t>317 94-1123.R00</t>
  </si>
  <si>
    <t>317 94-1121.R00</t>
  </si>
  <si>
    <t>27</t>
  </si>
  <si>
    <t>Základy</t>
  </si>
  <si>
    <t>41</t>
  </si>
  <si>
    <t>62</t>
  </si>
  <si>
    <t>Úprava povrchů vnější</t>
  </si>
  <si>
    <t>09</t>
  </si>
  <si>
    <t>Ostatní konstrukce a práce</t>
  </si>
  <si>
    <t>767</t>
  </si>
  <si>
    <t>Konstrukce zámečnické</t>
  </si>
  <si>
    <t>Podlahy z dlaždic</t>
  </si>
  <si>
    <t>Geodetické práce (vytyčení, průběžné zaměřování, geometrické zaměření skutečného stavu)</t>
  </si>
  <si>
    <t>979 99-0103.R00</t>
  </si>
  <si>
    <t>979 08-1111.R00</t>
  </si>
  <si>
    <t>Poplatek za skládku suti - beton</t>
  </si>
  <si>
    <t>979 08-1121.R00</t>
  </si>
  <si>
    <t>273 36-1921.RT5</t>
  </si>
  <si>
    <t>978 01-5291.R00</t>
  </si>
  <si>
    <t>Otlučení omítek vnějších MVC v složit.1-4 do 100 %</t>
  </si>
  <si>
    <t>97_</t>
  </si>
  <si>
    <t>9_</t>
  </si>
  <si>
    <t>01_</t>
  </si>
  <si>
    <t xml:space="preserve">Do základů bude vložen zemnící pásek. </t>
  </si>
  <si>
    <t>R 01</t>
  </si>
  <si>
    <t>133-84435R</t>
  </si>
  <si>
    <t xml:space="preserve">Stropy a stropní konstrukce </t>
  </si>
  <si>
    <t>771 10-1210.RT1</t>
  </si>
  <si>
    <t>Penetrace podkladu pod dlažby</t>
  </si>
  <si>
    <t>Přesun hmot  pro podlahy z dlaždic v objektech v do 12  m</t>
  </si>
  <si>
    <r>
      <rPr>
        <b/>
        <sz val="9"/>
        <rFont val="Arial"/>
        <family val="2"/>
      </rPr>
      <t>AZ PROJECT spol. s r.o.  projektová a inženýrská kancelář</t>
    </r>
    <r>
      <rPr>
        <sz val="9"/>
        <rFont val="Arial"/>
        <family val="2"/>
      </rPr>
      <t xml:space="preserve">
 Plynárenská 830
 280 02  Kolín IV  </t>
    </r>
  </si>
  <si>
    <t xml:space="preserve">                                              </t>
  </si>
  <si>
    <t>REKAPITULACE CENY</t>
  </si>
  <si>
    <t>SO</t>
  </si>
  <si>
    <t>Cena
CZK</t>
  </si>
  <si>
    <t>revize</t>
  </si>
  <si>
    <t>Kč celkem</t>
  </si>
  <si>
    <t>PROFESE</t>
  </si>
  <si>
    <t>Celkem 1:</t>
  </si>
  <si>
    <t>Celkem 2:</t>
  </si>
  <si>
    <t>Cena celkem /CZK/ bez DPH</t>
  </si>
  <si>
    <t>DPH  21%</t>
  </si>
  <si>
    <t>Konečná cena /CZK/ vč. DPH</t>
  </si>
  <si>
    <t>Jméno společnosti:</t>
  </si>
  <si>
    <t>Zodpovědná osoba :</t>
  </si>
  <si>
    <t>Podpis:</t>
  </si>
  <si>
    <t>Datum:</t>
  </si>
  <si>
    <t>datum:</t>
  </si>
  <si>
    <r>
      <rPr>
        <b/>
        <sz val="10"/>
        <rFont val="Arial"/>
        <family val="2"/>
      </rPr>
      <t>AZ PROJECT spol. s r.o.  projektová a inženýrská kancelář</t>
    </r>
    <r>
      <rPr>
        <sz val="10"/>
        <rFont val="Arial"/>
        <family val="2"/>
      </rPr>
      <t xml:space="preserve">
 Plynárenská 830
 280 02  Kolín IV  </t>
    </r>
  </si>
  <si>
    <t>Město Kolín,
Karlovo náměstí 78, 280 12 Kolín I</t>
  </si>
  <si>
    <t>kg</t>
  </si>
  <si>
    <t>madlo    42,4/5   dl.13 100 mm,    4 ks    celkem  52 400 mm</t>
  </si>
  <si>
    <t>sloupek 44,5/4   dl.      900 mm,  29 ks    celkem  26 100 mm</t>
  </si>
  <si>
    <t>madlo    42,4/5   dl   3 700 mm,    4 ks    celkem  14 800 mm</t>
  </si>
  <si>
    <t>madlo    42,4/5   dl.  8 600 mm,    4 ks    celkem  34 400 mm</t>
  </si>
  <si>
    <t xml:space="preserve">madlo    42,4/5   dl.12 040 mm,    4 ks    celkem  48 160 mm     </t>
  </si>
  <si>
    <t>madlo    42,4/5   dl.      300 mm,    4 ks    celkem    1 200 mm</t>
  </si>
  <si>
    <t>madlo    42,4/5   dl.  6 950 mm,    4 ks    celkem  27 800 mm</t>
  </si>
  <si>
    <t>držák madla 10 mm  dl. 150 mm 29 ks celkem    4 350 mm</t>
  </si>
  <si>
    <t xml:space="preserve">kg </t>
  </si>
  <si>
    <t>U 140    dl.  3 600 mm   1 ks    celkem    3 600 mm</t>
  </si>
  <si>
    <t>U 140    dl.  8 600 mm   1 ks    celkem    8 600 mm</t>
  </si>
  <si>
    <t>Ocelová nosná konstrukce železobetonové desky rampy</t>
  </si>
  <si>
    <t>963 05-1113.R00</t>
  </si>
  <si>
    <t>Bourání ŽB stropů deskových tl. nad 8 cm</t>
  </si>
  <si>
    <t>767 99-6801.R00</t>
  </si>
  <si>
    <t>Demontáž atypických ocelových konstr. do 50 kg - zábradlí</t>
  </si>
  <si>
    <t>133-84430R</t>
  </si>
  <si>
    <t>U 140    dl.31 800 mm   1 ks    celkem  31 800 mm</t>
  </si>
  <si>
    <t>U 120    dl.  1 800 mm 14 ks    celkem 25 200 mm</t>
  </si>
  <si>
    <t>U 120    dl.  2 550 mm   2 ks    celkem    5 100 mm</t>
  </si>
  <si>
    <t>((0,845+0,240)/2)*13,1+0,24*3,4+0,12*8,4+6,8*0,12+12,2*((0,845+0,240)/2)</t>
  </si>
  <si>
    <t>rampa</t>
  </si>
  <si>
    <t>Bednění stěn základových desek - zřízení</t>
  </si>
  <si>
    <t>Bednění stěn základových desek - odstranění</t>
  </si>
  <si>
    <t>Příplatek k odvozu za každý další 1 km  -- 10 km</t>
  </si>
  <si>
    <t>Demontované ocelové konstrukce jsou majetkem investora</t>
  </si>
  <si>
    <t>Příčníky jsou kotveny do původního betonového základu ocelovými kotvami D=16 mm, délka 500 mm</t>
  </si>
  <si>
    <t>32,3*1,08</t>
  </si>
  <si>
    <t>34,4+6,8*2</t>
  </si>
  <si>
    <t>A</t>
  </si>
  <si>
    <t>A.1</t>
  </si>
  <si>
    <t>1.1</t>
  </si>
  <si>
    <t>1.2</t>
  </si>
  <si>
    <t>1.3</t>
  </si>
  <si>
    <t>1.4</t>
  </si>
  <si>
    <t>1.5</t>
  </si>
  <si>
    <t>1.6</t>
  </si>
  <si>
    <t>2.1</t>
  </si>
  <si>
    <t>2.2</t>
  </si>
  <si>
    <t>2.4</t>
  </si>
  <si>
    <t>2.5</t>
  </si>
  <si>
    <t>2.6</t>
  </si>
  <si>
    <t>7.5</t>
  </si>
  <si>
    <t>7.6</t>
  </si>
  <si>
    <t>273 32-1311.R00</t>
  </si>
  <si>
    <t>273 35-1215.R00</t>
  </si>
  <si>
    <t>273 35-1216.R00</t>
  </si>
  <si>
    <t>(508,80+57,60+137,60)*0,001</t>
  </si>
  <si>
    <t>(337,68+68,34)*0,001</t>
  </si>
  <si>
    <t>R 02</t>
  </si>
  <si>
    <t>602 02-1114.RT2</t>
  </si>
  <si>
    <t>Omítka sanační soklová Baumit Sanova S, ručně, tloušťka vrstvy 30 mm</t>
  </si>
  <si>
    <t>Ukončovací lišta nerez s oblou hranou  D+M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</si>
  <si>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</si>
  <si>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</si>
  <si>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</si>
  <si>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</si>
  <si>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</si>
  <si>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</si>
  <si>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</si>
  <si>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</si>
  <si>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711 21-0020.RAA</t>
  </si>
  <si>
    <t>Stěrka hydroizolační těsnicí hmotou Aquafin 2 K, proti vlhkosti, pružná hydroizolace</t>
  </si>
  <si>
    <t>771 57-5109.R00</t>
  </si>
  <si>
    <t>597-642030R</t>
  </si>
  <si>
    <t>R 03</t>
  </si>
  <si>
    <t>R 04</t>
  </si>
  <si>
    <t>998 77-1201.R00</t>
  </si>
  <si>
    <t>783 13-3620.R00</t>
  </si>
  <si>
    <t>44,0*0,52+30,3*0,44</t>
  </si>
  <si>
    <t>22,05*1,2*0,16</t>
  </si>
  <si>
    <t>22,05*0,8*0,14</t>
  </si>
  <si>
    <t>Jiné materiály, montáž, atd., neuvedené výše, ale které je nutné zahrnout do celkového rozsahu prací podle výkresů a praxe dodavatele.      
 Indrx 2018 10%</t>
  </si>
  <si>
    <t xml:space="preserve">Úprava veřejného prostranství  
Poliklinika, Smetanova 764 </t>
  </si>
  <si>
    <t>122 20-1101.R00</t>
  </si>
  <si>
    <t>Odkop svahu - zemina, naložení, odvoz na skládku, vč.poplatku</t>
  </si>
  <si>
    <t>7,9*15,1+48,0*0,95</t>
  </si>
  <si>
    <t>113 20-1012.RA0</t>
  </si>
  <si>
    <t>Vytrhání  kamenných obrubníků</t>
  </si>
  <si>
    <t>781 90-0020.RA0</t>
  </si>
  <si>
    <t>Odsekání vnějších obkladů</t>
  </si>
  <si>
    <t>113 10-6032.RAB</t>
  </si>
  <si>
    <t>Vybourání zámkové dlažby</t>
  </si>
  <si>
    <t>8,7+528,5-24,5-9,0-102,5</t>
  </si>
  <si>
    <t>113 10-7220.RA0</t>
  </si>
  <si>
    <t>Vybourání živice,vč.podkladních vrstev</t>
  </si>
  <si>
    <t>962 10-0022.RA0</t>
  </si>
  <si>
    <t>1.7</t>
  </si>
  <si>
    <t>963 04-2819.R00</t>
  </si>
  <si>
    <t>Bourání schodišťové konstrukce</t>
  </si>
  <si>
    <t>14*0,5+9*1,4</t>
  </si>
  <si>
    <t>1.8</t>
  </si>
  <si>
    <t>965 10-0032.RAB</t>
  </si>
  <si>
    <t>Bourání keramických dlaždic</t>
  </si>
  <si>
    <t>48,0+10,2</t>
  </si>
  <si>
    <t>1.9</t>
  </si>
  <si>
    <t>965 20-0012.RA0</t>
  </si>
  <si>
    <t>Bourání betonových mazanin</t>
  </si>
  <si>
    <t>0,71*2,4*2+1,7*1,4+9,7*1,4*0,25</t>
  </si>
  <si>
    <t>1.10</t>
  </si>
  <si>
    <t>(7,9+6,4+12,3+5,4)*40</t>
  </si>
  <si>
    <t>1.11</t>
  </si>
  <si>
    <t>1.12</t>
  </si>
  <si>
    <t>1.13</t>
  </si>
  <si>
    <t>1.14</t>
  </si>
  <si>
    <t>Poplatek za skládku suti - živice</t>
  </si>
  <si>
    <t>313 21-6112.RT2</t>
  </si>
  <si>
    <t>327 21-6113.RT2</t>
  </si>
  <si>
    <t>311 32-1824.R00</t>
  </si>
  <si>
    <t>Mdvč
komplet</t>
  </si>
  <si>
    <t>Komunikace</t>
  </si>
  <si>
    <t>917 86-2111.R00</t>
  </si>
  <si>
    <t>596 81-1111.RT2</t>
  </si>
  <si>
    <t>Kladení dlaždic kom.pro pěší, lože z kameniva těž., včetně dlaždic betonových HBB 30/30/3,3 cm</t>
  </si>
  <si>
    <t>596 81-1111.RT5</t>
  </si>
  <si>
    <t>577 00-0002.RA0</t>
  </si>
  <si>
    <t>3.10</t>
  </si>
  <si>
    <t>3.11</t>
  </si>
  <si>
    <t>R00</t>
  </si>
  <si>
    <t xml:space="preserve">Ocelové zábradlí - komplet - úprava stávající, D+M nové, nátěry   </t>
  </si>
  <si>
    <t>3.12</t>
  </si>
  <si>
    <t>998 22-3011.R00</t>
  </si>
  <si>
    <t>Úprava štítové stěny lékárny</t>
  </si>
  <si>
    <t>kpl</t>
  </si>
  <si>
    <t>4.2</t>
  </si>
  <si>
    <t>4.3</t>
  </si>
  <si>
    <t>4.4</t>
  </si>
  <si>
    <t>Mobiliář</t>
  </si>
  <si>
    <t>4.5</t>
  </si>
  <si>
    <t>Veřejné osvětlení</t>
  </si>
  <si>
    <t>4.6</t>
  </si>
  <si>
    <t>4.7</t>
  </si>
  <si>
    <t>05/2018</t>
  </si>
  <si>
    <t>21M</t>
  </si>
  <si>
    <t>Elektromontáže</t>
  </si>
  <si>
    <t>1.15</t>
  </si>
  <si>
    <t>1.16</t>
  </si>
  <si>
    <t>1.17</t>
  </si>
  <si>
    <t>1.18</t>
  </si>
  <si>
    <t>CYKY-02x1,5 mm2 750V (PU)</t>
  </si>
  <si>
    <t>CYKY-J3x2,5 mm2 750V (PU)</t>
  </si>
  <si>
    <t>CYKY-J5x4    mm2 750V (PU)</t>
  </si>
  <si>
    <t>CYKY-J5x6    mm2 750V (PU)</t>
  </si>
  <si>
    <t>AYKY-J4x16</t>
  </si>
  <si>
    <t>zás.nástěnná ABB 230V/16A . IP44</t>
  </si>
  <si>
    <t>uzemění FeZn drát průměr 10mm</t>
  </si>
  <si>
    <t>uzemění FeZn tyč ZT1,5 FeZn</t>
  </si>
  <si>
    <t>ukonč nebo prodlouž.vod.CU/Al vč.zap.konce do 4 mm2</t>
  </si>
  <si>
    <t>ukonč.vod.Al v rozváděči vč.zap.konce 16 mm2</t>
  </si>
  <si>
    <t>smrštitelná spojka SVCZ4x4-16S</t>
  </si>
  <si>
    <t>kopoflex  KF09050</t>
  </si>
  <si>
    <t>sloup sadový dvojstupňový bezpaticový KL5-133/60Z</t>
  </si>
  <si>
    <t>svítidlo HELLUX  NMF typ 401 /1x70W</t>
  </si>
  <si>
    <t>sloup Schufle zásuvková skříň,dobíječka kol</t>
  </si>
  <si>
    <t>připojení automatiky závlahy a ventilů</t>
  </si>
  <si>
    <t>připojení sloupů a závory</t>
  </si>
  <si>
    <t>Montážní materiál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</si>
  <si>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</si>
  <si>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</si>
  <si>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</si>
  <si>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</si>
  <si>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</si>
  <si>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</si>
  <si>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</si>
  <si>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</si>
  <si>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</si>
  <si>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</si>
  <si>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33918</t>
  </si>
  <si>
    <t>CYKY-J5x6 mm2</t>
  </si>
  <si>
    <t>33917</t>
  </si>
  <si>
    <t>CYKY-J5x4 mm2</t>
  </si>
  <si>
    <t>33914</t>
  </si>
  <si>
    <t>CYKY-O2x1,5 mm2</t>
  </si>
  <si>
    <t>33915</t>
  </si>
  <si>
    <t>CYKY-J3x2,5 mm2</t>
  </si>
  <si>
    <t>33920</t>
  </si>
  <si>
    <t>35075</t>
  </si>
  <si>
    <t>zás.nástěnná ABB 230V/16A  IP44</t>
  </si>
  <si>
    <t>35100</t>
  </si>
  <si>
    <t>37288</t>
  </si>
  <si>
    <t>37289</t>
  </si>
  <si>
    <t>37290</t>
  </si>
  <si>
    <t>výzbroj stožárová SV9.16.4</t>
  </si>
  <si>
    <t>37291</t>
  </si>
  <si>
    <t xml:space="preserve">výbojka sodíková SHC 70W E27 </t>
  </si>
  <si>
    <t>09987</t>
  </si>
  <si>
    <t>Výzbroj rozvaděče RS 01.1</t>
  </si>
  <si>
    <t>13498</t>
  </si>
  <si>
    <t>pozink.drát FeZn10</t>
  </si>
  <si>
    <t>13499</t>
  </si>
  <si>
    <t xml:space="preserve">pozink.tyč zemnící ZT1,5 Fe/Zn </t>
  </si>
  <si>
    <t>Prořez 5%</t>
  </si>
  <si>
    <t>Podružný materiál 5% z nosného materiálu</t>
  </si>
  <si>
    <t>2.17</t>
  </si>
  <si>
    <t>2.18</t>
  </si>
  <si>
    <t>VC - 7/32 - Rozváděče</t>
  </si>
  <si>
    <t>A-9100-1</t>
  </si>
  <si>
    <t>Montáž  rozváděče do váhy 100kg</t>
  </si>
  <si>
    <t>N-7321-1</t>
  </si>
  <si>
    <t>Kontrola rozváděče RS01      vč. vystavení atestu</t>
  </si>
  <si>
    <t>N-7321-2</t>
  </si>
  <si>
    <t>Kontrola rozváděče RS01.1  vč. vystavení atestu</t>
  </si>
  <si>
    <t>Úprava rozváděče RS01</t>
  </si>
  <si>
    <t>Výroba  rozváděče RS01.1</t>
  </si>
  <si>
    <t>4.8</t>
  </si>
  <si>
    <t>4.9</t>
  </si>
  <si>
    <t>4.10</t>
  </si>
  <si>
    <t>Výchozí revize el. zařízení dle ČSN 331500</t>
  </si>
  <si>
    <t>hod.</t>
  </si>
  <si>
    <t>HZS</t>
  </si>
  <si>
    <t>Spolupráce s revizním technikem</t>
  </si>
  <si>
    <t>Práce neuvedené v ceníku</t>
  </si>
  <si>
    <t>Zabezpečení pracoviště</t>
  </si>
  <si>
    <t>Spolupráce s ostatními profesemi</t>
  </si>
  <si>
    <t>Příprava ke komplexní zkoušce a zkušební provoz</t>
  </si>
  <si>
    <t>Stav. přípomoce autojeřáb bez zemních a beton.prací</t>
  </si>
  <si>
    <t>Stav. přípomoce  zemních a beton.prací</t>
  </si>
  <si>
    <t>Příplatek za recyklaci - svítidla 2ks</t>
  </si>
  <si>
    <t>Příplatek za recyklaci - světel. Zdroje 2 ks</t>
  </si>
  <si>
    <t>Závlahový systém</t>
  </si>
  <si>
    <t>Práce</t>
  </si>
  <si>
    <t>Instalační práce</t>
  </si>
  <si>
    <t>Cestovné</t>
  </si>
  <si>
    <t>Potrubí a kabely</t>
  </si>
  <si>
    <t>40-3230</t>
  </si>
  <si>
    <t>Potrubí LDPE PE 40 PN 6 32x3</t>
  </si>
  <si>
    <t>E080032032</t>
  </si>
  <si>
    <t>T-kus 32</t>
  </si>
  <si>
    <t>Fitinky -  zátka, kolena, spojky</t>
  </si>
  <si>
    <t>Kabel CYKY 2x1,5</t>
  </si>
  <si>
    <t>Řídicí systém</t>
  </si>
  <si>
    <t>DDCWP-2-9V</t>
  </si>
  <si>
    <t>632926</t>
  </si>
  <si>
    <t>TRS</t>
  </si>
  <si>
    <t>Řídicí jednotka DDC pro 2 sekce 9 V</t>
  </si>
  <si>
    <t>Baterie 9V Energizer Industrial</t>
  </si>
  <si>
    <t>Čidlo srážek, kabel 8 m</t>
  </si>
  <si>
    <t>Elektromagnetické ventily</t>
  </si>
  <si>
    <t>EZP-02-54</t>
  </si>
  <si>
    <t>BVS1</t>
  </si>
  <si>
    <t>VRR2020151</t>
  </si>
  <si>
    <t>FPT9260</t>
  </si>
  <si>
    <t>FPE9220</t>
  </si>
  <si>
    <t>FPC9232</t>
  </si>
  <si>
    <t>Elektromagnetický ventil EZ-Flo Plus, 1" vnější závit, cívka AC-24 V,bez regulace průtoku</t>
  </si>
  <si>
    <t>Regulátor tlaku pro kapkovou závlahu</t>
  </si>
  <si>
    <t>Vodovzdorný konektor</t>
  </si>
  <si>
    <t>Ventilový T-kus FxFxM</t>
  </si>
  <si>
    <t>Ventilové koleno FxM</t>
  </si>
  <si>
    <t>Přechodový kus 32x1" s převlečnou maticí</t>
  </si>
  <si>
    <t>Kapková závlaha a ruční závlaha</t>
  </si>
  <si>
    <t>SB162-33-100</t>
  </si>
  <si>
    <t>Kapénková hadice 16 mm, klubo 100 m, bez kompenzace tlaku, rozteč otvorů 33 cm, průtok 2 l/h</t>
  </si>
  <si>
    <t>Kapénková hadice 16 mm, role 100 m, s kompenzací tlaku, rozteč otvorů 33cm, průtok 2 l/h s ochranou proti prorůstání kořínků ROOTGUARD</t>
  </si>
  <si>
    <t>Geotextílie 300 g/m2</t>
  </si>
  <si>
    <t>Fitinky pro kapkovou hadici (kolena, spojky, zátky)</t>
  </si>
  <si>
    <t>Tvarovka pro kapkovou hadici T-kus</t>
  </si>
  <si>
    <t>Ucpávka hadice 16 mm</t>
  </si>
  <si>
    <t>Koleno pro 16 mm hadici</t>
  </si>
  <si>
    <t>Spojka pro 16 mm hadici</t>
  </si>
  <si>
    <t>Spona pro hadici 16 mm plast</t>
  </si>
  <si>
    <t>Plastový bodec pro připevnění hadice k půdě</t>
  </si>
  <si>
    <t>18001600</t>
  </si>
  <si>
    <t>23001600</t>
  </si>
  <si>
    <t>17001600</t>
  </si>
  <si>
    <t>19001600</t>
  </si>
  <si>
    <t>13070-1</t>
  </si>
  <si>
    <t>22201600</t>
  </si>
  <si>
    <t>Ostatní</t>
  </si>
  <si>
    <t>WS-VB911M</t>
  </si>
  <si>
    <t>WINTER34</t>
  </si>
  <si>
    <t>ABF2515-3F</t>
  </si>
  <si>
    <t>Ventilová šachta kulatá velká</t>
  </si>
  <si>
    <t>Sestava pro zazimování</t>
  </si>
  <si>
    <t>Diskový filtr 1"</t>
  </si>
  <si>
    <t>Tlaková zkouška potrubí</t>
  </si>
  <si>
    <t>Zprovoznění závlahy</t>
  </si>
  <si>
    <t>Zazimování závlahy</t>
  </si>
  <si>
    <r>
      <rPr>
        <b/>
        <sz val="9"/>
        <rFont val="Arial"/>
        <family val="2"/>
      </rPr>
      <t>Stolek</t>
    </r>
    <r>
      <rPr>
        <sz val="9"/>
        <rFont val="Arial"/>
        <family val="2"/>
      </rPr>
      <t xml:space="preserve">
dřevěná deska 800x800x50 mm, akát mořený,
rychleschnoucí lepidlo na dřevo
OSB deska 12 mm kotvená do gabionu
kotvy se závlačí dl.200 mm
gabionový koš 600x600x500, velikost oka 100x50 mm</t>
    </r>
  </si>
  <si>
    <r>
      <rPr>
        <b/>
        <sz val="9"/>
        <rFont val="Arial CE"/>
        <family val="2"/>
      </rPr>
      <t>Lavička</t>
    </r>
    <r>
      <rPr>
        <sz val="9"/>
        <rFont val="Arial CE"/>
        <family val="2"/>
      </rPr>
      <t xml:space="preserve"> samostatně stojící  dl.1700 mm, akát mořený, opatřený ochranným nátěrem</t>
    </r>
  </si>
  <si>
    <r>
      <rPr>
        <b/>
        <sz val="9"/>
        <rFont val="Arial CE"/>
        <family val="2"/>
      </rPr>
      <t>Stojan na kola</t>
    </r>
    <r>
      <rPr>
        <sz val="9"/>
        <rFont val="Arial CE"/>
        <family val="2"/>
      </rPr>
      <t xml:space="preserve"> pro 5 kol, barva šedá RAL 7022</t>
    </r>
  </si>
  <si>
    <r>
      <rPr>
        <b/>
        <sz val="9"/>
        <rFont val="Arial CE"/>
        <family val="2"/>
      </rPr>
      <t>Odpadkový koš</t>
    </r>
    <r>
      <rPr>
        <sz val="9"/>
        <rFont val="Arial CE"/>
        <family val="2"/>
      </rPr>
      <t xml:space="preserve"> nerezový s popelníkem (var.plný, s prolisy), barva šedá RAL 7022 ( 2 stávající + 3 nové)</t>
    </r>
  </si>
  <si>
    <r>
      <rPr>
        <b/>
        <sz val="9"/>
        <rFont val="Arial CE"/>
        <family val="2"/>
      </rPr>
      <t>Dřevěný obklad</t>
    </r>
    <r>
      <rPr>
        <sz val="9"/>
        <rFont val="Arial CE"/>
        <family val="2"/>
      </rPr>
      <t xml:space="preserve"> niky v gabionové stěně tl.60 mm, šířka 150 mm, akát mořený , dl.3000 mm dno+ vertikální obklad 3000x570 mm</t>
    </r>
  </si>
  <si>
    <t>Sadové úpravy</t>
  </si>
  <si>
    <t>Kácení stromů, odstraňování keřů</t>
  </si>
  <si>
    <t>111 21-2211</t>
  </si>
  <si>
    <t>Odtranění nevhodných dřevin, výšky do 1 m, s odstraněním kořenů,  s odklizením získaného dřeva na hromady nebo na dopravní prostředek</t>
  </si>
  <si>
    <t>111 21-2311</t>
  </si>
  <si>
    <t>Odtranění nevhodných dřevin, výšky přes 1 m, s odstraněním kořenů,  s odklizením získaného dřeva na hromady nebo na dopravní prostředek</t>
  </si>
  <si>
    <t>112 15-1311</t>
  </si>
  <si>
    <t>Pokácení stromu postupné bez spuštění části kmene a koruny o půměru na řezné ploše pařezu přs 100 do 200 mm,  s odklizením získaného dřeva na hromady nebo na dopravní prostředek</t>
  </si>
  <si>
    <t>112 15-1312</t>
  </si>
  <si>
    <t>Pokácení stromu postupné bez spuštění části kmene a koruny o půměru na řezné ploše pařezu přs 200 do 300 mm,  s odklizením získaného dřeva na hromady nebo na dopravní prostředek</t>
  </si>
  <si>
    <t>112 15-1313</t>
  </si>
  <si>
    <t>Pokácení stromu postupné bez spuštění části kmene a koruny o půměru na řezné ploše pařezu přs 300 do 400 mm,  s odklizením získaného dřeva na hromady nebo na dopravní prostředek</t>
  </si>
  <si>
    <t>112 20-1112</t>
  </si>
  <si>
    <t>Odstranění pařezu s odklizením získaného dřeva            na vzdálenost do  20 m, se složením na hromady         nebo s naložením na dopravní prostředek, v rovině nebo na svahu do 1:5 o průměru pařezu na řezné ploše do 300mm, vykopáním,vyfrézováním,vytrháním či jinou technologií s odstraněním náběhových kořenů</t>
  </si>
  <si>
    <t>112 20-1113</t>
  </si>
  <si>
    <t>Odstranění pařezu s odklizením získaného dřeva            na vzdálenost do  20 m, se složením na hromady         nebo s naložením na dopravní prostředek, v rovině nebo na svahu do 1:5 o průměru pařezu na řezné ploše do 400mm, vykopáním,vyfrézováním,vytrháním či jinou technologií s odstraněním náběhových kořenů</t>
  </si>
  <si>
    <t>112 20-1114</t>
  </si>
  <si>
    <t>Odstranění pařezu s odklizením získaného dřeva            na vzdálenost do  20 m, se složením na hromady         nebo s naložením na dopravní prostředek, v rovině nebo na svahu do 1:5 o průměru pařezu na řezné ploše do 500mm, vykopáním,vyfrézováním,vytrháním či jinou technologií s odstraněním náběhových kořenů</t>
  </si>
  <si>
    <t>r</t>
  </si>
  <si>
    <t>Odvoz a uložení biologického odpadu na skládku</t>
  </si>
  <si>
    <t xml:space="preserve">Ošetření ponechaných stromů </t>
  </si>
  <si>
    <t>184 81-8244</t>
  </si>
  <si>
    <t>184 81-8242</t>
  </si>
  <si>
    <t>184 81-8241</t>
  </si>
  <si>
    <t>1  -  50       Aesculus hippocastaneum
Ochrana kmene bedněním před poškozením stavební činností, zřízení včetně odstranění,výška bednění 2-3 m, průměr přes 700 do 900 mm</t>
  </si>
  <si>
    <t>2  -  60       Pinus nigra, borovice černá
Ochrana kmene bedněním před poškozením stavební činností, zřízení včetně odstranění,výška bednění 2-3 m, průměr přes 300 do 500 mm</t>
  </si>
  <si>
    <t>3  -  62       Pinus nigra, borovice černá
Ochrana kmene bedněním před poškozením stavební činností, zřízení včetně odstranění,výška bednění 2-3 m, průměr  do 300 mm</t>
  </si>
  <si>
    <t>4  -  72       Pinus nigra, borovice černá
zvýšit podjezdovou výšku</t>
  </si>
  <si>
    <t>Práce, výsadby, trávník</t>
  </si>
  <si>
    <t>Chemické odplevelení půdy pro výsadby, včetně dodávky chemického přípravku  a vody</t>
  </si>
  <si>
    <t>183 40-3114</t>
  </si>
  <si>
    <t>Obdělání půdy kultivátorováním v rovině nebo na svahu do 1:5, v zemině tř.3 (2x)  70 % výměry</t>
  </si>
  <si>
    <t>183 40-3132</t>
  </si>
  <si>
    <t>Obdělání půdy rytím v rovině  v zemině tř.3,                                    30% výměry</t>
  </si>
  <si>
    <t>183 40-3111</t>
  </si>
  <si>
    <t>Obdělání půdy nakopáním, hloubka do 100 mm,  v rovině  v zemině tř.3,                 30% výměry</t>
  </si>
  <si>
    <t>183 40-3153</t>
  </si>
  <si>
    <t>Obdělání půdy hrabáním v rovině  (2x)</t>
  </si>
  <si>
    <t>183 20-5112</t>
  </si>
  <si>
    <t>Založení záhonu (výsadby +trvalky)</t>
  </si>
  <si>
    <t>183 21-1211</t>
  </si>
  <si>
    <t xml:space="preserve">Založení štěrkového záhonu  </t>
  </si>
  <si>
    <t>18310-1221</t>
  </si>
  <si>
    <t>Hloubení jamek pro vysazování rostlin v hornině 1 až 4, výměna půdy na 50%, , naložení přebytečných výkopků na dopr. prostředek,  odvoz do 20km,  složení, v rovině, objemu do  1m3 (stromy) )</t>
  </si>
  <si>
    <t>183 10-1214</t>
  </si>
  <si>
    <t>Hloubení jamek pro vysazování rostlin v hornině 1 až 4, výměna půdy na 50%, , naložení přebytečných výkopků na dopr. prostředek,  odvoz do 20km,  složení, v rovině, objemu do  0,125m3 (keře a traviny )</t>
  </si>
  <si>
    <t>Hloubení jamek pro vysazování rostlin v hornině 1 až 4, výměna půdy na100%, , naložení přebytečných výkopků na dopr. prostředek,  odvoz do 20km,  složení, v rovině, objemu do  0,125m3 keře - (rhododendrony, hortenzie + rašelina))</t>
  </si>
  <si>
    <t>183 11-1213</t>
  </si>
  <si>
    <t>Hloubení jamek pro vysazování rostlin v hornině 1 až 4     s výměnou půdy na 50%, s  naložením výkopků na dopr. prostředek, s odvozem  do 20km a se složením, v rovině ,objemu do 0,01m3 ( keře drobné)</t>
  </si>
  <si>
    <t>183 11-1212</t>
  </si>
  <si>
    <t>Hloubení jamek pro vysazování trvalek, v hornině 1 až 4     s výměnou půdy na 50%, s  naložením výkopků na dopr. prostředek, s odvozem  do 20km a se složením, v rovině ,objemu do 0,005m3 ( trvalky)</t>
  </si>
  <si>
    <t>184 10-2116</t>
  </si>
  <si>
    <t>Výsadba dřevin s balem do předem vyhloubené jamky se zalitím v rovině nebo na svahu do 1:5  při prům. balu přes 600 do 800mm, stromy</t>
  </si>
  <si>
    <t>184 10-2112</t>
  </si>
  <si>
    <t>Výsadba dřevin s balem do předem vyhloubené jamky se zalitím v rovině nebo na svahu do 1:5   při prům. balu přes 100 do 300mm, keře</t>
  </si>
  <si>
    <t>184 10-2110</t>
  </si>
  <si>
    <t>Výsadba dřevin s balem do předem vyhloubené jamky se zalitím v rovině nebo na svahu do 1:5  při prům. balu do 100mm (trvalky)</t>
  </si>
  <si>
    <t>Pro stromy - promísení půdy v jamce s půdním kondicionerem</t>
  </si>
  <si>
    <t>Řez stromů při výsadbě</t>
  </si>
  <si>
    <t>184 21-5133</t>
  </si>
  <si>
    <t>Ukotvení dřeviny třemi a více kůli s ochranou proti poškození kmene v místě vzepření, při průměru kůlu                 do 100 mm a délce kůlu do 3m.</t>
  </si>
  <si>
    <t>184 50-1121</t>
  </si>
  <si>
    <t>zhotovení obalu kmene jutovým pásem</t>
  </si>
  <si>
    <t>184 21-5412</t>
  </si>
  <si>
    <t>Zhotovení závlahové mísy u stromů do 1 m2</t>
  </si>
  <si>
    <t>185 80-4312</t>
  </si>
  <si>
    <t>Zalití rostlin (1x zalití je zahrnuto v ceně výsadby) následná jedna zálivka po dokončení výsadeb (stromy 75 l/ks,keře+traviny 25 l/ks, drobné keře 10 l/ks, trvalky 3 l/ks)</t>
  </si>
  <si>
    <t>185 85-1121</t>
  </si>
  <si>
    <t>Dovoz vody pro zálivku rostlin na vzdálenost do 1000m (pro rostliny, jedna zálivka po dokončení výsadeb)</t>
  </si>
  <si>
    <t>185 80-2113</t>
  </si>
  <si>
    <t>Hnojení výsadeb  umělým hnojivem na široko.</t>
  </si>
  <si>
    <t>185 80-4213</t>
  </si>
  <si>
    <t>Vypletí solitérních dřevin (5 ks)</t>
  </si>
  <si>
    <t>185 80-4214</t>
  </si>
  <si>
    <t>Vypletí dřevin ve skupinách</t>
  </si>
  <si>
    <t>185 80-4211</t>
  </si>
  <si>
    <t>Vypletí záhonu trvalek</t>
  </si>
  <si>
    <t>185 80-4212</t>
  </si>
  <si>
    <t>Vypletí záhonu trůží</t>
  </si>
  <si>
    <t>185 80-4252</t>
  </si>
  <si>
    <t>Odstranění odumřelých částí rostlin- trvalky</t>
  </si>
  <si>
    <t>185 80-4253</t>
  </si>
  <si>
    <t>Odstranění odumřelých částí rostlin- růže</t>
  </si>
  <si>
    <t>184 91-1311</t>
  </si>
  <si>
    <t xml:space="preserve">Položení mulčovací folie </t>
  </si>
  <si>
    <t>184 91-1421</t>
  </si>
  <si>
    <t>Mulčování vysazených rostlin s  naložením odpadu na dopr. prostředek, s odvozem do 20km a se složením, při tl. mulče od 50 do 100mm,  v rovině</t>
  </si>
  <si>
    <t>184 91-1151</t>
  </si>
  <si>
    <t>Mulčování záhonů drceným kamenivem, s  naložením odpadu na dopr. prostředek, s odvozem do 20km a se složením, při tl. mulče 20-50 mm,  v rovině (výsadby podél rampy + šíkmé záhony podél schodiště)</t>
  </si>
  <si>
    <t>Příprava půdy pro založení trávníku: chemické odplevelení stávající půdy (včetně dodávky herbicidu), její mechanické rozrušení (kultivátorování, rytí, , uhrabání) 80 % mechanizací + 20% ručně</t>
  </si>
  <si>
    <t>181 41-1131</t>
  </si>
  <si>
    <t>Založení trávníku parkového výsevem, včetně utužení, plocha do 1000 m2 v rovině</t>
  </si>
  <si>
    <t>Hnojení  trávníku umělým hnojivem na široko.</t>
  </si>
  <si>
    <t>185 80-3111</t>
  </si>
  <si>
    <t>Ošetření jednorázové, pokosení, shrabání, naložení, odvoz</t>
  </si>
  <si>
    <t xml:space="preserve">Zalití trávníku   3 x (3 x 10 l/ m2)  plochy přes 20m2,  </t>
  </si>
  <si>
    <t>Dovoz vody pro zálivku na vzdálenost do 1000m</t>
  </si>
  <si>
    <t>Trávník</t>
  </si>
  <si>
    <t>Výsadby</t>
  </si>
  <si>
    <t>Hloubení jamek</t>
  </si>
  <si>
    <t>Materiál</t>
  </si>
  <si>
    <t>20-25</t>
  </si>
  <si>
    <t>200-250</t>
  </si>
  <si>
    <t>150-200</t>
  </si>
  <si>
    <t>18-20</t>
  </si>
  <si>
    <t>Acer platanoides Crimson King, javor 20-25</t>
  </si>
  <si>
    <t>Fagus sylvatica Dawyck Gold, buk  200-250</t>
  </si>
  <si>
    <t>Fagus sylvatica Dawyck Purple, buk  200-250</t>
  </si>
  <si>
    <t>Gleditsia triacanthos Sunburst, dřezovec  20-25</t>
  </si>
  <si>
    <t>Magnolia x soulangiana Rustica Rubra, šácholan 150-200</t>
  </si>
  <si>
    <t>Platanus x hispanica Alphens Globe, platan  18-20</t>
  </si>
  <si>
    <t>Tilia cordata Winter Orange, lípa  20-25</t>
  </si>
  <si>
    <r>
      <rPr>
        <b/>
        <sz val="9"/>
        <rFont val="Arial CE"/>
        <family val="2"/>
      </rPr>
      <t xml:space="preserve">Stromy  </t>
    </r>
    <r>
      <rPr>
        <sz val="9"/>
        <rFont val="Arial CE"/>
        <family val="2"/>
      </rPr>
      <t>(obvod kmene v cm, výška v cm, bal nebo kontejner)</t>
    </r>
  </si>
  <si>
    <r>
      <rPr>
        <b/>
        <sz val="9"/>
        <rFont val="Arial CE"/>
        <family val="2"/>
      </rPr>
      <t>Keře</t>
    </r>
    <r>
      <rPr>
        <sz val="9"/>
        <rFont val="Arial CE"/>
        <family val="2"/>
      </rPr>
      <t xml:space="preserve"> ( výška v cm)</t>
    </r>
  </si>
  <si>
    <t>Berberis betulifolia Nana, dřišťál</t>
  </si>
  <si>
    <t>20/30</t>
  </si>
  <si>
    <t>Berberis thunbergii Atropurrpurea Nana, dřišťál</t>
  </si>
  <si>
    <t>Berberis thunbergii Aurea, dřišťál</t>
  </si>
  <si>
    <t>30/40</t>
  </si>
  <si>
    <t>Coryopris x clandonensi Haevenly Blue, ořechoplodec</t>
  </si>
  <si>
    <t>Deutzia x gracillis, trojpuk</t>
  </si>
  <si>
    <t>Euonymus fortunei Emerald Gold, brslen</t>
  </si>
  <si>
    <t>Hibiscus syriacus, kmínek</t>
  </si>
  <si>
    <t>80-120</t>
  </si>
  <si>
    <t>Hydrangea arborescens Anna Belle, hortenzie</t>
  </si>
  <si>
    <t>40/50</t>
  </si>
  <si>
    <t>Hydrangea macrophylla, hortenzie</t>
  </si>
  <si>
    <t>Lavandula angustifolia, levandule</t>
  </si>
  <si>
    <t>Prunus laurocerasus, bobkovišeň</t>
  </si>
  <si>
    <t>50/60</t>
  </si>
  <si>
    <t>Rhododendron catawbiense Grandiflorum, pěnišník</t>
  </si>
  <si>
    <t>Rhododendron hippophaeoides, pěnišník</t>
  </si>
  <si>
    <t>Rhododendron repens Baden-baden, pěnišník</t>
  </si>
  <si>
    <t>Rhododendron russatum, pěnišník</t>
  </si>
  <si>
    <t>Rhododendron x Erato, pěnišník</t>
  </si>
  <si>
    <t>Rhododendron x Kalinka, pěnišník</t>
  </si>
  <si>
    <t>Rhododendron x Nova Zembla, pěnišník</t>
  </si>
  <si>
    <t>Rhododendron x Roseum elegans, pěnišník</t>
  </si>
  <si>
    <t>Rhododendron x Sametglut, pěnišník</t>
  </si>
  <si>
    <t>Rhododendron x Cunninghams White, pěnišník</t>
  </si>
  <si>
    <t>Rosa , směs barev- růže pokryvná</t>
  </si>
  <si>
    <t>Spiraea bumalda Anthony Waterer, tavolník</t>
  </si>
  <si>
    <t>Spiraea bumalda Goldflame, tavolník</t>
  </si>
  <si>
    <t>Spiraea cinerea Greefsheim, tavolník</t>
  </si>
  <si>
    <t>Spiraea japonica Golden Princess, tavolník</t>
  </si>
  <si>
    <t>15/20</t>
  </si>
  <si>
    <t>Spiraea japonica Litlle Princess, tavolník</t>
  </si>
  <si>
    <t>Spiraea japonica Shirobana, tavolník</t>
  </si>
  <si>
    <t>Syringa mayeri Palibin</t>
  </si>
  <si>
    <t>40/60</t>
  </si>
  <si>
    <t>Viburnum pragense, kalina</t>
  </si>
  <si>
    <t>80/100</t>
  </si>
  <si>
    <t>Viburnum x Eskymo, kmínek 120-150</t>
  </si>
  <si>
    <t>120/150</t>
  </si>
  <si>
    <t>Microbiota decussata, mikrobiota</t>
  </si>
  <si>
    <t>Pinus mugo Heesse, borovice</t>
  </si>
  <si>
    <r>
      <rPr>
        <b/>
        <sz val="9"/>
        <rFont val="Arial CE"/>
        <family val="2"/>
      </rPr>
      <t>Traviny</t>
    </r>
    <r>
      <rPr>
        <sz val="9"/>
        <rFont val="Arial CE"/>
        <family val="2"/>
      </rPr>
      <t xml:space="preserve"> (kontejner)</t>
    </r>
  </si>
  <si>
    <t>Avena candida</t>
  </si>
  <si>
    <t>Miscanthus sinensis Gracillimus</t>
  </si>
  <si>
    <t>Miscanthus sinensis Kleinee Fontane</t>
  </si>
  <si>
    <t>Miscanthus sinensis Strictus</t>
  </si>
  <si>
    <t>Penisetum japonicum Copressum</t>
  </si>
  <si>
    <t>Alchemilla mollis,kontryhel</t>
  </si>
  <si>
    <t>Anemone japonica, sasanka</t>
  </si>
  <si>
    <t>Aster alpinus, hvězdnice</t>
  </si>
  <si>
    <t>Aster dumosus, hvězdnice</t>
  </si>
  <si>
    <t>Astilbe - bílá, čechrava</t>
  </si>
  <si>
    <t>Astilbe - červená, čechrava</t>
  </si>
  <si>
    <t>Aurinia saxatilis, tařice</t>
  </si>
  <si>
    <t>Bergenia cordifolia, bergénie</t>
  </si>
  <si>
    <t>Campanula latifolia, zvonek</t>
  </si>
  <si>
    <t>Cerasium biebersteinii, rožec</t>
  </si>
  <si>
    <t>Dianthus deltoides, hvozdík</t>
  </si>
  <si>
    <t>Dicentra spectabilis, srdíčko</t>
  </si>
  <si>
    <t>Doronicum orientale, kamzičník</t>
  </si>
  <si>
    <t>Geranium,kakost</t>
  </si>
  <si>
    <t>Geum coccineum, kuklík</t>
  </si>
  <si>
    <t>Heuchera - směs barev, dlužicha</t>
  </si>
  <si>
    <t>Hypericum calycinum, třezalka</t>
  </si>
  <si>
    <t>Kniphophia uvaria, kleopatřina jehla</t>
  </si>
  <si>
    <t>Liatris spicata, šuškarda</t>
  </si>
  <si>
    <t>Lupinus hybridus, vlčí bob</t>
  </si>
  <si>
    <t>Nepeta x fassenii, šanta</t>
  </si>
  <si>
    <t>Phlox panicullata, lamenka</t>
  </si>
  <si>
    <t>Phlox subulata, lamenka</t>
  </si>
  <si>
    <t>Salvia nemorosa, šalvěj</t>
  </si>
  <si>
    <t>Sedum acre, rozchodník</t>
  </si>
  <si>
    <t>Sedum spurium Fuldaglut, rozchodník</t>
  </si>
  <si>
    <t>Sedum telephium Herbstfreude, rozchodník</t>
  </si>
  <si>
    <t>Veronica spicata, rozrazil</t>
  </si>
  <si>
    <t>2% ztratného</t>
  </si>
  <si>
    <t>Ostatní materiál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</si>
  <si>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</si>
  <si>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</si>
  <si>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</si>
  <si>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</si>
  <si>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</si>
  <si>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</si>
  <si>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</si>
  <si>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</si>
  <si>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</si>
  <si>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</si>
  <si>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</si>
  <si>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</si>
  <si>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</si>
  <si>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 xml:space="preserve">Zahradnický substrát (75l strom; 25l keře ; 1 l malé keře ve skupinách )       + 4% ztr. </t>
  </si>
  <si>
    <t>Kompostová zemina pro trvalky (1 l/ks)+ 4% ztr.</t>
  </si>
  <si>
    <t>Rašelina zahradní  (25l/ks pro Rhododendron, hydrangea ) pytlovaná  + 4% ztr.</t>
  </si>
  <si>
    <t>75 l</t>
  </si>
  <si>
    <t>Půdní kondicioner pro stromy 0,5 kg/ks + 4% ztr.</t>
  </si>
  <si>
    <t>Mulčovací textilie + 10% na překrytí  + 1% ztr.</t>
  </si>
  <si>
    <t>Kotvící materiál mulčovací textilie, skoby (5 ks /m2)+ 1% ztr.</t>
  </si>
  <si>
    <t xml:space="preserve">Mulčovací kůra, vrstva 0,1m + 4% ztr. </t>
  </si>
  <si>
    <t xml:space="preserve">Mulčovací drcené kamenivo   -  fr. 8/16,        vrstva 5 cm + 3% ztr. </t>
  </si>
  <si>
    <t xml:space="preserve">Hnojivo NPK + 3% ztr. 0,04kg/m2 pro výsadby </t>
  </si>
  <si>
    <t>Osivo, travní směs parková, Universal  + 3% ztr., výsevek 25 g/m2</t>
  </si>
  <si>
    <t>Hnojivo NPK + 3% ztr. 0,04kg/m2 pro trávník</t>
  </si>
  <si>
    <t>Kotvící materiál pro stromy (1strom = 3 kůly, 2-3 m , příčky, 2m juta šíře 0,5m,  1m úvazek) + 1% ztr.</t>
  </si>
  <si>
    <t>Voda pro výsadby,      (75 l stromy,   25 l keře,   10 l  drobné keře,   trvalky 3 l/ks)    - zalití po ukončení výsadeb +3% ztr.</t>
  </si>
  <si>
    <t>Voda pro trávník, 3 x  10 l / m2   +3% ztr.</t>
  </si>
  <si>
    <t>Vyrovnání na PC x 1,2</t>
  </si>
  <si>
    <t xml:space="preserve">Propojovací rampa </t>
  </si>
  <si>
    <t>SO 06</t>
  </si>
  <si>
    <t>622300151R00</t>
  </si>
  <si>
    <t>Montáž soklové lišty</t>
  </si>
  <si>
    <t>622319015R00</t>
  </si>
  <si>
    <t>Vnější úpravy - Kompletní zateplovací systém ETICS</t>
  </si>
  <si>
    <t>SO 04.1</t>
  </si>
  <si>
    <t>SO 04.2</t>
  </si>
  <si>
    <t>SO 05</t>
  </si>
  <si>
    <t>SO 08</t>
  </si>
  <si>
    <t>SO 10</t>
  </si>
  <si>
    <t>SO 09</t>
  </si>
  <si>
    <t>SO 01,02,03</t>
  </si>
  <si>
    <t>SO 07</t>
  </si>
  <si>
    <t>Přeložka distribuční sítě elektro NN</t>
  </si>
  <si>
    <r>
      <rPr>
        <b/>
        <sz val="9"/>
        <rFont val="Arial"/>
        <family val="2"/>
      </rPr>
      <t xml:space="preserve">Přeložka distribuční sítě elektro NN
</t>
    </r>
    <r>
      <rPr>
        <sz val="9"/>
        <rFont val="Arial"/>
        <family val="2"/>
      </rPr>
      <t>řeší ČEZ Distribuce a.s., není součástí této projektové
dokumentace</t>
    </r>
  </si>
  <si>
    <t>Odsekání obkladů vnějších stěn nad 2m2</t>
  </si>
  <si>
    <t>106,40+8,85+4,45+5,50</t>
  </si>
  <si>
    <t xml:space="preserve">Poplatek za skládku suti </t>
  </si>
  <si>
    <t>Soklová lišta hliník KZS  tl. 100 mm</t>
  </si>
  <si>
    <t>Zateplovací systém Baumit, fasáda, EPS F tl.100 mm, zakončený stěrkou s výztužnou tkaninou</t>
  </si>
  <si>
    <t>Zateplovací systém soklový  XPS tl. 20 mm, zakončený stěrkou s výztužnou tkaninou</t>
  </si>
  <si>
    <t>Omítka stěn vnější z MS silikonová slož. II. ručně</t>
  </si>
  <si>
    <t>622 311563.R00</t>
  </si>
  <si>
    <t>941 94-1042.R00</t>
  </si>
  <si>
    <t>Montáž lešení leh.řad.s podlahami,š.1,2 m, H 30 m</t>
  </si>
  <si>
    <t>941 94-1292.R00</t>
  </si>
  <si>
    <t>Příplatek za každý měsíc použití lešení k pol.1042</t>
  </si>
  <si>
    <t>941 94-1842.R00</t>
  </si>
  <si>
    <t>Demontáž lešení leh.řad.s podlahami,š.1,2 m,H 30 m</t>
  </si>
  <si>
    <t>998 01-1002.R00</t>
  </si>
  <si>
    <t>Přesun hmot pro budovy zděné výšky do 12 m</t>
  </si>
  <si>
    <t>(17,3+0,6+0,5)*1,2</t>
  </si>
  <si>
    <t>(17,3+0,6+0,5)</t>
  </si>
  <si>
    <t>106,40+4,45+5,50</t>
  </si>
  <si>
    <t>9,0*2+9,3*2</t>
  </si>
  <si>
    <t>Lešení</t>
  </si>
  <si>
    <t>(17,2+1,5*2+0,8*2)*10,0</t>
  </si>
  <si>
    <t>Příplatek za rohovník vnějších omítek ze suché směsi</t>
  </si>
  <si>
    <t>762 44-1112.RT4</t>
  </si>
  <si>
    <t>Montáž obložení atiky,OSB desky,1vrst.,šroubováním včetně dodávky desky OSB  tl. 25 mm</t>
  </si>
  <si>
    <t>2,25*1,2*2</t>
  </si>
  <si>
    <t>622311132.RV1</t>
  </si>
  <si>
    <t>622472162.R00</t>
  </si>
  <si>
    <t>622473186.R00</t>
  </si>
  <si>
    <t>Oplechování atiky rš. 1000 mm</t>
  </si>
  <si>
    <t>764901100.R01</t>
  </si>
  <si>
    <t>Izolace samolepícím pásem - ochrana atiky</t>
  </si>
  <si>
    <t>711151111R02</t>
  </si>
  <si>
    <t>1,05*1,7*1,0*4*1,12</t>
  </si>
  <si>
    <t>133 20-1101.R00</t>
  </si>
  <si>
    <t>Beton základových pasů prostý C 16/20</t>
  </si>
  <si>
    <t>274313611.R00</t>
  </si>
  <si>
    <t>0,3*1,0*1,0*4</t>
  </si>
  <si>
    <t>(27,9-1,65*2)*0,12</t>
  </si>
  <si>
    <t>273 36-1821.R00</t>
  </si>
  <si>
    <t>274 27-2130.RT3</t>
  </si>
  <si>
    <t>Zdivo základové z bednicích tvárnic, tl. 25 cm,  výplň tvárnic betonem C 16/20</t>
  </si>
  <si>
    <t>631 57-1003.R00</t>
  </si>
  <si>
    <t>1,65*0,7+1,25*0,35*2</t>
  </si>
  <si>
    <t>1,15*0,325</t>
  </si>
  <si>
    <t xml:space="preserve">Železobeton  desky rampy -   beton C20/25 + KARI 100/8×300/8 na ztracené bednění z VSŽ plechu TR30/220/0,75
</t>
  </si>
  <si>
    <t>Násyp ze štěrkopísku 8 - 16 hutněný,  zpevňující</t>
  </si>
  <si>
    <t>19,5+2,3*1,45</t>
  </si>
  <si>
    <t>19,5*1,08+2,3*1,45*1,25</t>
  </si>
  <si>
    <t>1,45*6*1,02</t>
  </si>
  <si>
    <t>R1</t>
  </si>
  <si>
    <t>R2</t>
  </si>
  <si>
    <t>R3</t>
  </si>
  <si>
    <t>R4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</si>
  <si>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</si>
  <si>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</si>
  <si>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</si>
  <si>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</si>
  <si>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</si>
  <si>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</si>
  <si>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</si>
  <si>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</si>
  <si>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</si>
  <si>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</si>
  <si>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P1</t>
  </si>
  <si>
    <t>P2</t>
  </si>
  <si>
    <t>HEB 120    dl.    860 mm   2 ks    celkem  1,72  m</t>
  </si>
  <si>
    <t>HEB 120    dl.    920 mm   2 ks    celkem  1,84  m</t>
  </si>
  <si>
    <t>HEB 120    dl.    980 mm   2 ks    celkem  1,96  m</t>
  </si>
  <si>
    <t>HEB 120    dl.  1040 mm   2 ks    celkem  2,08  m</t>
  </si>
  <si>
    <t>HEB 120    dl.  1590 mm   3 ks    celkem  4,77  m</t>
  </si>
  <si>
    <t>HEB 120    dl.  1600 mm   1 ks    celkem  1,60  m</t>
  </si>
  <si>
    <t>U      120    dl.  1590 mm   1 ks    celkem  1,59  m</t>
  </si>
  <si>
    <t>U      120    dl.  1620 mm   1 ks    celkem  1,62  m</t>
  </si>
  <si>
    <t>T      120    dl.  1590 mm   5 ks    celkem  7,95  m</t>
  </si>
  <si>
    <t>U      140    dl.  4050 mm  2 ks    celkem  8,10  m</t>
  </si>
  <si>
    <t>U      140    dl.  4100 mm  2 ks    celkem  8,20  m</t>
  </si>
  <si>
    <t>U      140    dl.  4100 mm  2 ks    celkem  4,10  m</t>
  </si>
  <si>
    <t>U      140    dl.  3940 mm  1 ks    celkem  3,94  m</t>
  </si>
  <si>
    <t>L 100/100/8   dl.1700 mm   2 ks    celkem  3,40  m</t>
  </si>
  <si>
    <t>Plech 160/3  dl.   160 mm  16 ks   celkem  2,56  m</t>
  </si>
  <si>
    <t>Plech 200/8  dl.   200 mm    8 ks   celkem  1,60  m</t>
  </si>
  <si>
    <t>Prořez  15%</t>
  </si>
  <si>
    <t>Rampa  - zábradlí   - dodávka a montáž</t>
  </si>
  <si>
    <t>Ocelové konstrukce rampy</t>
  </si>
  <si>
    <t>Betonové konstrukce</t>
  </si>
  <si>
    <t xml:space="preserve">deska                                                23 ks    </t>
  </si>
  <si>
    <t>trubka    42,4/5   dl.9850 mm,    3 ks    celkem  29,55 m</t>
  </si>
  <si>
    <t>Z1</t>
  </si>
  <si>
    <t>Z2</t>
  </si>
  <si>
    <t>Z3</t>
  </si>
  <si>
    <t>Z4</t>
  </si>
  <si>
    <t>trubka    42,4/5   dl.4100 mm,    3 ks    celkem  12,30 m</t>
  </si>
  <si>
    <t>trubka    42,4/5   dl.8200 mm,    3 ks    celkem  24,60 m</t>
  </si>
  <si>
    <t>trubka    42,4/5   dl.1050 mm,   23 ks   celkem  24,15 m</t>
  </si>
  <si>
    <t>trubka    42,4/5   dl.3940 mm,    3 ks    celkem  11,82 m</t>
  </si>
  <si>
    <t>trubka    42,4/5   dl.  260 mm,    3 ks    celkem     0,78 m</t>
  </si>
  <si>
    <t>trubka    42,4/5   dl.1740 mm,    3 ks    celkem    5,22 m</t>
  </si>
  <si>
    <t>trubka    42,4/5   dl.1550 mm,    3 ks    celkem    4,65 m</t>
  </si>
  <si>
    <t>trubka    42,4/5   dl.2100 mm,    2 ks    celkem    4,20 m</t>
  </si>
  <si>
    <t>trubka    42,4/5   dl.2050 mm,    3 ks    celkem    6,15 m</t>
  </si>
  <si>
    <t>tyč Ø10mm         dl. 145 mm,   90 ks    celkem  13,05 m</t>
  </si>
  <si>
    <t>Opěrná zed - zábradlí   - dodávka a montáž</t>
  </si>
  <si>
    <t>Jackel  100/50/2   dl.10500 mm,      1 ks    celkem 10,50 m</t>
  </si>
  <si>
    <t>Jackel  100/50/2   dl. 22200 mm,      1 ks    celkem 22,20 m</t>
  </si>
  <si>
    <t>Jackel  100/50/2   dl.     100 mm,    15 ks    celkem   1,50 m</t>
  </si>
  <si>
    <t>Jackel  100/50/2   dl.   5250 mm,      1 ks    celkem   5,25 m</t>
  </si>
  <si>
    <t>Jackel  100/50/2   dl.   1450 mm,      4 ks    celkem   5,80 m</t>
  </si>
  <si>
    <t>Jackel  100/50/2   dl.    770 mm,      8 ks    celkem    6,16 m</t>
  </si>
  <si>
    <t>Jackel  100/50/2   dl.14950 mm,     1 ks    celkem  14,95 m</t>
  </si>
  <si>
    <t>Jackel  100/50/2   dl.    400 mm,    13 ks    celkem    5,20 m</t>
  </si>
  <si>
    <t>Jackel  100/50/2   dl.   1000 mm,      3 ks    celkem   3,00 m</t>
  </si>
  <si>
    <t>Jackel  100/50/2   dl.   3750 mm,      1 ks    celkem   3,75 m</t>
  </si>
  <si>
    <t>Jackel  100/50/2   dl.     820 mm,      6 ks    celkem   4,92 m</t>
  </si>
  <si>
    <t>Jackel  100/50/2   dl.   7525 mm,      1 ks    celkem   7,53 m</t>
  </si>
  <si>
    <t>trubka    42,4/5      dl.   2100 mm,      4 ks    celkem   8,40 m</t>
  </si>
  <si>
    <t>trubka    42,4/5      dl.   1000 mm,      4 ks    celkem   4,00 m</t>
  </si>
  <si>
    <t>174 10-1102.R00</t>
  </si>
  <si>
    <t>Zpětný zásyp ruční se zhutněním</t>
  </si>
  <si>
    <t>8,00-(1*0,3*1,0*4)</t>
  </si>
  <si>
    <t>564 25-1111.R01</t>
  </si>
  <si>
    <t>Rozprostření praného kameniva  tloušťky 15 cm</t>
  </si>
  <si>
    <t>583-33665R</t>
  </si>
  <si>
    <t>Kamenivo  těžené frakce 22-32 kačírek praný  VL</t>
  </si>
  <si>
    <t>979 02-4441.R00</t>
  </si>
  <si>
    <t>Očištění vybour. obrubníků všech loží a výplní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</si>
  <si>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</si>
  <si>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</si>
  <si>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</si>
  <si>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</si>
  <si>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</si>
  <si>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</si>
  <si>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</si>
  <si>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</si>
  <si>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</si>
  <si>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</si>
  <si>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</si>
  <si>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</si>
  <si>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</si>
  <si>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</si>
  <si>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</si>
  <si>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</si>
  <si>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</si>
  <si>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</si>
  <si>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</si>
  <si>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</si>
  <si>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</si>
  <si>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</si>
  <si>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</si>
  <si>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</si>
  <si>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</si>
  <si>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</si>
  <si>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</si>
  <si>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</si>
  <si>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</si>
  <si>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</si>
  <si>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</si>
  <si>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</si>
  <si>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</si>
  <si>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</si>
  <si>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</si>
  <si>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</si>
  <si>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</si>
  <si>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</si>
  <si>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</si>
  <si>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</si>
  <si>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</si>
  <si>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</si>
  <si>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</si>
  <si>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</si>
  <si>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</si>
  <si>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</si>
  <si>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</si>
  <si>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</si>
  <si>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</si>
  <si>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</si>
  <si>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</si>
  <si>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</si>
  <si>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</si>
  <si>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</si>
  <si>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</si>
  <si>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</si>
  <si>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</si>
  <si>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</si>
  <si>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</si>
  <si>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</si>
  <si>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</si>
  <si>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</si>
  <si>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</si>
  <si>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r>
      <rPr>
        <b/>
        <sz val="9"/>
        <rFont val="Arial CE"/>
        <family val="2"/>
      </rPr>
      <t xml:space="preserve">Trvalky </t>
    </r>
    <r>
      <rPr>
        <sz val="9"/>
        <rFont val="Arial CE"/>
        <family val="2"/>
      </rPr>
      <t>( kontejner)</t>
    </r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</si>
  <si>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</si>
  <si>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</si>
  <si>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</si>
  <si>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</si>
  <si>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</si>
  <si>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</si>
  <si>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</si>
  <si>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</si>
  <si>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</si>
  <si>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</si>
  <si>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</si>
  <si>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</si>
  <si>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</si>
  <si>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</si>
  <si>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</si>
  <si>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</si>
  <si>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</si>
  <si>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</si>
  <si>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</si>
  <si>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</si>
  <si>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</si>
  <si>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</si>
  <si>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</si>
  <si>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</si>
  <si>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</si>
  <si>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</si>
  <si>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</si>
  <si>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</si>
  <si>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</si>
  <si>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6.3</t>
  </si>
  <si>
    <t>6.4</t>
  </si>
  <si>
    <t>6.5</t>
  </si>
  <si>
    <t>6.6</t>
  </si>
  <si>
    <t>Zpevněné plochy, gabiony, schodiště</t>
  </si>
  <si>
    <t>SO-01.1</t>
  </si>
  <si>
    <t>SO-01.2</t>
  </si>
  <si>
    <t>SO-01.3</t>
  </si>
  <si>
    <t>Kladení dlaždic kom.pojezd, lože z kameniva těž. včetně dlaždic betonových HBB 50/50/6 cm</t>
  </si>
  <si>
    <t>29,3*0,15</t>
  </si>
  <si>
    <t>50,9+13,1+6,8+10,5+25,6+21,5+10,5</t>
  </si>
  <si>
    <t>(50,9+13,1+6,8+10,5+25,6+21,5+10,5)*1,08</t>
  </si>
  <si>
    <t>10,6+18,2+8,4+4,8+3,6+8,5+4,8+7,6+6,7+7,1+4,8+6,8+3,4+1,8</t>
  </si>
  <si>
    <t>š.300 mm</t>
  </si>
  <si>
    <t>š.150 mm</t>
  </si>
  <si>
    <t>20,3+6,4+2,2</t>
  </si>
  <si>
    <t>2,9+3,1+4,0+7,3+2,1+1,9+1,7+2,1+3,8+2,1+1,8+6,7+1,6+6,7+4,0+6,7+2,3*4</t>
  </si>
  <si>
    <t>Osazení stojat. obrub.kamenného s opěrou,lože z C 12/15</t>
  </si>
  <si>
    <t>Obklad stěn gabiony š.120 mm, oko 100x50 mm, včetně dodávky lomového kamene</t>
  </si>
  <si>
    <t>Opěr.zeď gabion,3vrst,oko 100/50, včetně dodávky lomového kamene  tl.300 mm</t>
  </si>
  <si>
    <t>4,5*0,3</t>
  </si>
  <si>
    <t>Opěr.zeď gabion,3vrst,oko 100/50, včetně dodávky lomového kamene  tl.500 mm</t>
  </si>
  <si>
    <t>0,5*(16,25+22,44)</t>
  </si>
  <si>
    <t>23,0*1,8+3,0*1,5+16,7*1,8+5,8*1,8*2+(54,3*0,5)+10,2*0,5*2+1,5*2</t>
  </si>
  <si>
    <t xml:space="preserve">SO-03 </t>
  </si>
  <si>
    <t>Pojezdová dlažba betonová</t>
  </si>
  <si>
    <t>Pochozí dlažba betonová</t>
  </si>
  <si>
    <t>Živičné plochy</t>
  </si>
  <si>
    <t>Opěrné stěny</t>
  </si>
  <si>
    <t>SO-05</t>
  </si>
  <si>
    <t>SO-08</t>
  </si>
  <si>
    <t>SO-09</t>
  </si>
  <si>
    <t>SO-10</t>
  </si>
  <si>
    <t>SO-04.2</t>
  </si>
  <si>
    <t>SO-04.1</t>
  </si>
  <si>
    <t>Hloubení šachet v hor.3 do 100 m3, naložení, odvoz na skládku, vč.poplatku</t>
  </si>
  <si>
    <t>Zámečnické konstrukce</t>
  </si>
  <si>
    <t>76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</si>
  <si>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</si>
  <si>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</si>
  <si>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</si>
  <si>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</si>
  <si>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</si>
  <si>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</si>
  <si>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</si>
  <si>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</si>
  <si>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</si>
  <si>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</si>
  <si>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</si>
  <si>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</si>
  <si>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</si>
  <si>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</si>
  <si>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</si>
  <si>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</si>
  <si>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</si>
  <si>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</si>
  <si>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</si>
  <si>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</si>
  <si>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</si>
  <si>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</si>
  <si>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</si>
  <si>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</si>
  <si>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</si>
  <si>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</si>
  <si>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</si>
  <si>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</si>
  <si>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</si>
  <si>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</si>
  <si>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</si>
  <si>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</si>
  <si>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</si>
  <si>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</si>
  <si>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</si>
  <si>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</si>
  <si>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</si>
  <si>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</si>
  <si>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</si>
  <si>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</si>
  <si>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</si>
  <si>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</si>
  <si>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</si>
  <si>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</si>
  <si>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HEB, U, T č.12</t>
  </si>
  <si>
    <t>(373,0+43,01+184,76)*0,001</t>
  </si>
  <si>
    <t>U č.14+</t>
  </si>
  <si>
    <t>(389,44+235,90)*0,001</t>
  </si>
  <si>
    <t>U č.14</t>
  </si>
  <si>
    <t>U č.12</t>
  </si>
  <si>
    <t>Rampa  - zábradlí  - dodávka a montáž</t>
  </si>
  <si>
    <t>Madlo opatřit gumovým nátěrem Rubbercomp</t>
  </si>
  <si>
    <t>(8,37)*0,090</t>
  </si>
  <si>
    <t>Výztuž základových desek z beton.oceli 10505 R</t>
  </si>
  <si>
    <t>3.3.17</t>
  </si>
  <si>
    <t>Mrazuvzdorná  keramická dlažba protiskluzná R12 300x300x9 mm</t>
  </si>
  <si>
    <t>Montáž podlah keram.,hladké, flex tmel, 30x30 cm</t>
  </si>
  <si>
    <t>(13,1+8,6+0,3)*1,2*0,16</t>
  </si>
  <si>
    <t>Podkladní vyrovnávací beton C16/20 XCO,  základových desek, (do stávající ponechané konstrukce rampy)</t>
  </si>
  <si>
    <t xml:space="preserve">Železobeton  desky rampy -   beton C20/25 t. 140 mm + KARI 150/8×150/8 na ztracené bednění z VSŽ plechu TR30/220/0,75
</t>
  </si>
  <si>
    <t>(13,1+8,6+0,3+0,6)*1,8</t>
  </si>
  <si>
    <t>(13,6+12,1+5,4)*0,14</t>
  </si>
  <si>
    <t>SO-03.1</t>
  </si>
  <si>
    <t>SO-03.2</t>
  </si>
  <si>
    <t>SO-03.3</t>
  </si>
  <si>
    <t>SO-03.4</t>
  </si>
  <si>
    <t>Úprava vstupního schodiště - poliklinika  -  nová dlažba.</t>
  </si>
  <si>
    <t>Schodiště</t>
  </si>
  <si>
    <t>56</t>
  </si>
  <si>
    <t>Bourání  zdí  vč. základů</t>
  </si>
  <si>
    <t>(7,9+6,4)*1,6+12,3*1,2+6,9*1,5+4,7*2,3+5,7*2+2,1*2,6*2</t>
  </si>
  <si>
    <t>Zdivo základové z bednicích tvárnic, tl. 30 cm,  výplň tvárnic betonem C 16/20</t>
  </si>
  <si>
    <t>274 27-2140.RT3</t>
  </si>
  <si>
    <t>Stavební úpravy severního schodiště železobetonové  kompletní   - lékárna - ponecháno bez úprav</t>
  </si>
  <si>
    <t>Úprava vyrovnávacího schodiště - oprava, očištění kamenných desek pískováním a tlakovou vodou</t>
  </si>
  <si>
    <t>(1,7*1,25+1,3*0,7+1,7*0,95)*2</t>
  </si>
  <si>
    <t>Zásyp zeminou ruční se zhutněním</t>
  </si>
  <si>
    <t>1,65*0,95</t>
  </si>
  <si>
    <t>7*3,0*0,3+7*3*0,171</t>
  </si>
  <si>
    <t>7*3,0*0,3+7*3*0,171+5,2*0,95*2</t>
  </si>
  <si>
    <t>Montáž dlažeb na schodišti keram.,protiskluz, flex tmel, 30x30 cm podstupnice  v.do 200 mm</t>
  </si>
  <si>
    <t>Montáž dlažeb na schodišti keram.,protiskluz, flex tmel, 30x30 cm  š.300 mm</t>
  </si>
  <si>
    <t>(7*3,0*0,3+7*3*0,171)*1,25</t>
  </si>
  <si>
    <t>(0,3+0,16667)*1,45*6</t>
  </si>
  <si>
    <t>(0,3+0,16667)*1,45*6*1,25</t>
  </si>
  <si>
    <t>1,45*6</t>
  </si>
  <si>
    <t>Beton základových zdí  C 20/25</t>
  </si>
  <si>
    <t>6,6*1,7+4,7*2,3+4,5*0,5+3,7*2,8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</si>
  <si>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</si>
  <si>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</si>
  <si>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</si>
  <si>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</si>
  <si>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</si>
  <si>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</si>
  <si>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</si>
  <si>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</si>
  <si>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t>2.7.9</t>
  </si>
  <si>
    <t>2.8.1</t>
  </si>
  <si>
    <t>2.8.2</t>
  </si>
  <si>
    <t>2.8.3</t>
  </si>
  <si>
    <t>2.8.4</t>
  </si>
  <si>
    <t>2.8.5</t>
  </si>
  <si>
    <t>2.8.6</t>
  </si>
  <si>
    <t>2.8.7</t>
  </si>
  <si>
    <t>(23,0*1,8+3,0*1,5+16,7*1,8+5,8*1,8*2+(54,3*0,5)+10,4*1,8)*0,12</t>
  </si>
  <si>
    <t>564 71-2111.R00</t>
  </si>
  <si>
    <t>Podklad z kam.drceného 0-16 s výplň.kamen. 4 cm</t>
  </si>
  <si>
    <t>564 73-2111.R00</t>
  </si>
  <si>
    <t>Podklad z kam.drceného 0-16 s výplň.kamen. 5 cm</t>
  </si>
  <si>
    <t>564 74-1111.R00</t>
  </si>
  <si>
    <t>Podklad z kameniva drceného vel.32-63 mm,tl. 10 cm</t>
  </si>
  <si>
    <t xml:space="preserve">Asfaltový beton pro obrusné vrstvy ACO 11 ČSN 73 6121  tl.60 mm
</t>
  </si>
  <si>
    <t>Postřik infiltrační PI-A 0,8kg/m2/  ČSN 73 6129</t>
  </si>
  <si>
    <t>Drcené kamenivo (fr. 0-32) tl.150 mm</t>
  </si>
  <si>
    <t>Postřik spojovací PS-A 0,3kg/m2/  ČSN 73 6129</t>
  </si>
  <si>
    <t xml:space="preserve">Asfaltový beton pro obrusné vrstvy ACO 11 ČSN 73 6121  tl.50 mm
</t>
  </si>
  <si>
    <t>Asfaltový beton pro podkladní vrstvy ACP 16+ 50mm ČSN 73 6121</t>
  </si>
  <si>
    <t>Drcené kamenivo (fr. 0-16) tl.150 mm</t>
  </si>
  <si>
    <t>Drcené kamenivo (fr. 0-32) tl.200 mm</t>
  </si>
  <si>
    <t>Geotextilie  300g/m2</t>
  </si>
  <si>
    <t>17,1+13,9</t>
  </si>
  <si>
    <t>54,6+6,2</t>
  </si>
  <si>
    <t>916 33-1112.R00</t>
  </si>
  <si>
    <t>Osazení zahradního obrubníku betonového do lože z betonu s boční opěrou</t>
  </si>
  <si>
    <t>59217011R</t>
  </si>
  <si>
    <t>obrubník betonový zahradní 50x5x20 cm</t>
  </si>
  <si>
    <t>2,1+16,6+16,7</t>
  </si>
  <si>
    <t>Úprava vstupního schodiště - lékárna - nová dlažba.</t>
  </si>
  <si>
    <t>Jiné materiály, montáž, atd., neuvedené výše, ale které je nutné zahrnout do celkového rozsahu prací podle výkresů a praxe dodavatele.</t>
  </si>
  <si>
    <t>Přístupová rampa - lékárna</t>
  </si>
  <si>
    <t>Přesun hmot pro zámečnické konstr., výšky do 6 m</t>
  </si>
  <si>
    <t>R01</t>
  </si>
  <si>
    <t>771 27-5206.RU5</t>
  </si>
  <si>
    <t>6*1,45*0,3</t>
  </si>
  <si>
    <t>6*1,45*0,16667</t>
  </si>
  <si>
    <t>7*3,0*0,171</t>
  </si>
  <si>
    <t>7*3,0*0,3</t>
  </si>
  <si>
    <t>Přesun hmot pro komunikace dlážděné</t>
  </si>
  <si>
    <t>998 01-1031.R00</t>
  </si>
  <si>
    <t>Přesun hmot  pro budovy občanské výstavby  v objektech v do 6  m</t>
  </si>
  <si>
    <t>Přesun hmot  pro budovy občanské výstavby  v  objektech v do 6  m</t>
  </si>
  <si>
    <t>Osazení + výroba -  válcovaných nosníků  do č. 12</t>
  </si>
  <si>
    <t>Osazení + výroba  - ocelových válcovaných nosníků  č.14-22</t>
  </si>
  <si>
    <t>Nátěr syntetický + chlorkaučukový OK "B" 4x email</t>
  </si>
  <si>
    <t xml:space="preserve">Jiné materiály, montáž, atd., neuvedené výše, ale které je nutné zahrnout do celkového rozsahu prací podle výkresů a praxe dodavatele.    </t>
  </si>
  <si>
    <t>Nátěr  syntetický + chlorkaučukový OK "B" 4x email</t>
  </si>
  <si>
    <t>Osazení + výroba z  ocelových válcovaných nosníků  č.14-22</t>
  </si>
  <si>
    <t>Osazení + výroba  z válcovaných nosníků  do č. 12</t>
  </si>
  <si>
    <t>Zařízení staveniště, práce za provozu</t>
  </si>
  <si>
    <t>Projektová dokumentace skutečného provedení stavby</t>
  </si>
  <si>
    <t>BOZ</t>
  </si>
  <si>
    <r>
      <t>Zateplení atiky XPS</t>
    </r>
    <r>
      <rPr>
        <sz val="9"/>
        <color rgb="FF00B050"/>
        <rFont val="Arial"/>
        <family val="2"/>
      </rPr>
      <t xml:space="preserve"> </t>
    </r>
    <r>
      <rPr>
        <sz val="9"/>
        <rFont val="Arial"/>
        <family val="2"/>
      </rPr>
      <t>tl.50 mm</t>
    </r>
  </si>
  <si>
    <t>622 311115.RV2</t>
  </si>
</sst>
</file>

<file path=xl/styles.xml><?xml version="1.0" encoding="utf-8"?>
<styleSheet xmlns="http://schemas.openxmlformats.org/spreadsheetml/2006/main">
  <numFmts count="9">
    <numFmt numFmtId="6" formatCode="#,##0\ &quot;Kč&quot;;[Red]\-#,##0\ &quot;Kč&quot;"/>
    <numFmt numFmtId="8" formatCode="#,##0.00\ &quot;Kč&quot;;[Red]\-#,##0.00\ &quot;Kč&quot;"/>
    <numFmt numFmtId="164" formatCode="#,##0.0000"/>
    <numFmt numFmtId="165" formatCode="#,##0.00000"/>
    <numFmt numFmtId="166" formatCode="0.000"/>
    <numFmt numFmtId="167" formatCode="#,##0;[Red]\-#,##0"/>
    <numFmt numFmtId="168" formatCode="#,##0.00;[Red]\-#,##0.00"/>
    <numFmt numFmtId="169" formatCode="#,##0.000"/>
    <numFmt numFmtId="170" formatCode="0.0000"/>
  </numFmts>
  <fonts count="107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sz val="8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2"/>
      <name val="Arial Black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name val="Helv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name val="Arial CE"/>
      <family val="2"/>
    </font>
    <font>
      <i/>
      <sz val="9"/>
      <color indexed="12"/>
      <name val="Arial CE"/>
      <family val="2"/>
    </font>
    <font>
      <i/>
      <sz val="9"/>
      <color indexed="12"/>
      <name val="Arial"/>
      <family val="2"/>
    </font>
    <font>
      <i/>
      <sz val="9"/>
      <color theme="0"/>
      <name val="Arial CE"/>
      <family val="2"/>
    </font>
    <font>
      <i/>
      <sz val="10"/>
      <color theme="0"/>
      <name val="Arial CE"/>
      <family val="2"/>
    </font>
    <font>
      <i/>
      <sz val="10"/>
      <color indexed="12"/>
      <name val="Arial CE"/>
      <family val="2"/>
    </font>
    <font>
      <b/>
      <i/>
      <sz val="10"/>
      <color theme="0"/>
      <name val="Arial"/>
      <family val="2"/>
    </font>
    <font>
      <sz val="9"/>
      <color theme="0"/>
      <name val="Arial CE"/>
      <family val="2"/>
    </font>
    <font>
      <sz val="10"/>
      <color theme="0"/>
      <name val="Arial CE"/>
      <family val="2"/>
    </font>
    <font>
      <b/>
      <sz val="9"/>
      <color theme="0"/>
      <name val="Arial CE"/>
      <family val="2"/>
    </font>
    <font>
      <i/>
      <sz val="9"/>
      <color theme="0"/>
      <name val="Arial"/>
      <family val="2"/>
    </font>
    <font>
      <i/>
      <sz val="10"/>
      <color theme="0"/>
      <name val="Arial"/>
      <family val="2"/>
    </font>
    <font>
      <i/>
      <sz val="10"/>
      <color indexed="12"/>
      <name val="Arial"/>
      <family val="2"/>
    </font>
    <font>
      <i/>
      <sz val="9"/>
      <color rgb="FF0000FF"/>
      <name val="Arial"/>
      <family val="2"/>
    </font>
    <font>
      <sz val="10"/>
      <color indexed="17"/>
      <name val="Arial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Arial Tur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8"/>
      <color indexed="8"/>
      <name val="HelveticaNewE"/>
      <family val="5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4"/>
      <name val="Arial CE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0"/>
      <color indexed="8"/>
      <name val="Arial"/>
      <family val="2"/>
    </font>
    <font>
      <sz val="11"/>
      <name val="Arial CE"/>
      <family val="2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i/>
      <sz val="9"/>
      <color rgb="FF0000FF"/>
      <name val="Arial CE"/>
      <family val="2"/>
    </font>
    <font>
      <i/>
      <sz val="10"/>
      <color rgb="FF0000FF"/>
      <name val="Arial CE"/>
      <family val="2"/>
    </font>
    <font>
      <i/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9"/>
      <color rgb="FFFFFFFF"/>
      <name val="Arial"/>
      <family val="2"/>
    </font>
    <font>
      <i/>
      <sz val="9"/>
      <color indexed="9"/>
      <name val="Arial"/>
      <family val="2"/>
    </font>
    <font>
      <sz val="9"/>
      <color indexed="12"/>
      <name val="Arial"/>
      <family val="2"/>
    </font>
    <font>
      <b/>
      <sz val="9"/>
      <color indexed="9"/>
      <name val="Arial CE"/>
      <family val="2"/>
    </font>
    <font>
      <sz val="10"/>
      <color rgb="FF0000FF"/>
      <name val="Arial"/>
      <family val="2"/>
    </font>
    <font>
      <b/>
      <sz val="10"/>
      <color rgb="FF0000FF"/>
      <name val="Arial CE"/>
      <family val="2"/>
    </font>
    <font>
      <b/>
      <sz val="10"/>
      <color indexed="9"/>
      <name val="Arial CE"/>
      <family val="2"/>
    </font>
    <font>
      <sz val="12"/>
      <name val="Times New Roman"/>
      <family val="1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0"/>
      <color rgb="FF0000FF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9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hair"/>
    </border>
    <border>
      <left style="thin"/>
      <right style="thin"/>
      <top style="medium"/>
      <bottom style="hair">
        <color indexed="63"/>
      </bottom>
    </border>
    <border>
      <left style="thin"/>
      <right style="medium"/>
      <top style="medium"/>
      <bottom style="hair">
        <color indexed="63"/>
      </bottom>
    </border>
    <border>
      <left style="thin"/>
      <right style="thin"/>
      <top style="hair"/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/>
      <right style="medium"/>
      <top style="medium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 style="hair">
        <color indexed="63"/>
      </bottom>
    </border>
  </borders>
  <cellStyleXfs count="3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3" borderId="0" applyNumberFormat="0" applyBorder="0" applyAlignment="0" applyProtection="0"/>
    <xf numFmtId="0" fontId="52" fillId="20" borderId="1" applyNumberFormat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53" fillId="4" borderId="0" applyNumberFormat="0" applyBorder="0" applyAlignment="0" applyProtection="0"/>
    <xf numFmtId="0" fontId="19" fillId="0" borderId="0">
      <alignment/>
      <protection/>
    </xf>
    <xf numFmtId="0" fontId="54" fillId="21" borderId="2" applyNumberFormat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4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>
      <alignment/>
      <protection/>
    </xf>
    <xf numFmtId="0" fontId="60" fillId="0" borderId="0">
      <alignment/>
      <protection/>
    </xf>
    <xf numFmtId="0" fontId="60" fillId="0" borderId="0">
      <alignment horizontal="center"/>
      <protection/>
    </xf>
    <xf numFmtId="0" fontId="61" fillId="22" borderId="6" applyNumberFormat="0" applyAlignment="0" applyProtection="0"/>
    <xf numFmtId="0" fontId="62" fillId="7" borderId="1" applyNumberFormat="0" applyAlignment="0" applyProtection="0"/>
    <xf numFmtId="0" fontId="63" fillId="0" borderId="0">
      <alignment/>
      <protection/>
    </xf>
    <xf numFmtId="0" fontId="61" fillId="22" borderId="6" applyNumberFormat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 locked="0"/>
    </xf>
    <xf numFmtId="0" fontId="6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 locked="0"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66" fillId="0" borderId="0">
      <alignment/>
      <protection locked="0"/>
    </xf>
    <xf numFmtId="0" fontId="2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6" fillId="0" borderId="0">
      <alignment/>
      <protection locked="0"/>
    </xf>
    <xf numFmtId="0" fontId="28" fillId="0" borderId="0">
      <alignment/>
      <protection/>
    </xf>
    <xf numFmtId="0" fontId="66" fillId="0" borderId="0">
      <alignment/>
      <protection locked="0"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24" borderId="2" applyNumberFormat="0" applyFont="0" applyAlignment="0" applyProtection="0"/>
    <xf numFmtId="0" fontId="0" fillId="24" borderId="2" applyNumberFormat="0" applyFont="0" applyAlignment="0" applyProtection="0"/>
    <xf numFmtId="0" fontId="69" fillId="20" borderId="8" applyNumberFormat="0" applyAlignment="0" applyProtection="0"/>
    <xf numFmtId="0" fontId="70" fillId="0" borderId="0">
      <alignment/>
      <protection/>
    </xf>
    <xf numFmtId="0" fontId="71" fillId="25" borderId="0">
      <alignment/>
      <protection/>
    </xf>
    <xf numFmtId="0" fontId="72" fillId="0" borderId="9">
      <alignment horizontal="justify" vertical="center" wrapText="1"/>
      <protection locked="0"/>
    </xf>
    <xf numFmtId="0" fontId="64" fillId="0" borderId="7" applyNumberFormat="0" applyFill="0" applyAlignment="0" applyProtection="0"/>
    <xf numFmtId="9" fontId="19" fillId="0" borderId="0" applyFont="0" applyFill="0" applyBorder="0" applyAlignment="0" applyProtection="0"/>
    <xf numFmtId="0" fontId="73" fillId="0" borderId="10" applyNumberFormat="0" applyFill="0" applyAlignment="0" applyProtection="0"/>
    <xf numFmtId="0" fontId="28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8" fillId="0" borderId="0" applyProtection="0">
      <alignment/>
    </xf>
    <xf numFmtId="0" fontId="68" fillId="0" borderId="0">
      <alignment/>
      <protection/>
    </xf>
    <xf numFmtId="0" fontId="74" fillId="0" borderId="0" applyNumberFormat="0" applyFill="0" applyBorder="0" applyAlignment="0" applyProtection="0"/>
    <xf numFmtId="0" fontId="68" fillId="0" borderId="0">
      <alignment horizontal="center"/>
      <protection/>
    </xf>
    <xf numFmtId="0" fontId="75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5" fillId="20" borderId="0">
      <alignment/>
      <protection/>
    </xf>
    <xf numFmtId="0" fontId="75" fillId="10" borderId="0">
      <alignment/>
      <protection/>
    </xf>
    <xf numFmtId="0" fontId="5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</cellStyleXfs>
  <cellXfs count="670">
    <xf numFmtId="0" fontId="0" fillId="0" borderId="0" xfId="0"/>
    <xf numFmtId="49" fontId="3" fillId="0" borderId="11" xfId="20" applyNumberFormat="1" applyFont="1" applyFill="1" applyBorder="1" applyAlignment="1">
      <alignment vertical="center"/>
      <protection/>
    </xf>
    <xf numFmtId="49" fontId="3" fillId="23" borderId="12" xfId="21" applyNumberFormat="1" applyFont="1" applyFill="1" applyBorder="1" applyAlignment="1">
      <alignment horizontal="center" vertical="center" wrapText="1"/>
      <protection/>
    </xf>
    <xf numFmtId="49" fontId="3" fillId="23" borderId="13" xfId="21" applyNumberFormat="1" applyFont="1" applyFill="1" applyBorder="1" applyAlignment="1">
      <alignment horizontal="center" vertical="center" wrapText="1"/>
      <protection/>
    </xf>
    <xf numFmtId="0" fontId="3" fillId="23" borderId="14" xfId="22" applyFont="1" applyFill="1" applyBorder="1" applyAlignment="1">
      <alignment vertical="center" wrapText="1"/>
      <protection/>
    </xf>
    <xf numFmtId="0" fontId="3" fillId="23" borderId="14" xfId="21" applyFont="1" applyFill="1" applyBorder="1" applyAlignment="1">
      <alignment horizontal="center" vertical="center" wrapText="1"/>
      <protection/>
    </xf>
    <xf numFmtId="0" fontId="3" fillId="23" borderId="15" xfId="21" applyFont="1" applyFill="1" applyBorder="1" applyAlignment="1">
      <alignment horizontal="center" vertical="center" wrapText="1"/>
      <protection/>
    </xf>
    <xf numFmtId="164" fontId="16" fillId="0" borderId="0" xfId="21" applyNumberFormat="1" applyFont="1" applyAlignment="1">
      <alignment horizontal="right" vertical="center" indent="1"/>
      <protection/>
    </xf>
    <xf numFmtId="165" fontId="16" fillId="0" borderId="0" xfId="21" applyNumberFormat="1" applyFont="1" applyAlignment="1">
      <alignment horizontal="right" vertical="center" wrapText="1" indent="1"/>
      <protection/>
    </xf>
    <xf numFmtId="0" fontId="3" fillId="0" borderId="0" xfId="21" applyFont="1" applyAlignment="1">
      <alignment horizontal="center" vertical="center" wrapText="1"/>
      <protection/>
    </xf>
    <xf numFmtId="4" fontId="3" fillId="0" borderId="0" xfId="21" applyNumberFormat="1" applyFont="1" applyAlignment="1">
      <alignment horizontal="center" vertical="center" wrapText="1"/>
      <protection/>
    </xf>
    <xf numFmtId="0" fontId="0" fillId="0" borderId="14" xfId="23" applyFont="1" applyBorder="1" applyAlignment="1">
      <alignment vertical="center" wrapText="1"/>
      <protection/>
    </xf>
    <xf numFmtId="49" fontId="3" fillId="0" borderId="12" xfId="24" applyNumberFormat="1" applyFont="1" applyFill="1" applyBorder="1" applyAlignment="1">
      <alignment horizontal="center" vertical="center"/>
      <protection/>
    </xf>
    <xf numFmtId="49" fontId="3" fillId="0" borderId="13" xfId="24" applyNumberFormat="1" applyFont="1" applyFill="1" applyBorder="1" applyAlignment="1">
      <alignment horizontal="center" vertical="center"/>
      <protection/>
    </xf>
    <xf numFmtId="0" fontId="3" fillId="0" borderId="14" xfId="24" applyFont="1" applyFill="1" applyBorder="1" applyAlignment="1">
      <alignment vertical="center" wrapText="1"/>
      <protection/>
    </xf>
    <xf numFmtId="49" fontId="3" fillId="0" borderId="14" xfId="24" applyNumberFormat="1" applyFont="1" applyFill="1" applyBorder="1" applyAlignment="1">
      <alignment horizontal="center" vertical="center" shrinkToFit="1"/>
      <protection/>
    </xf>
    <xf numFmtId="4" fontId="3" fillId="0" borderId="16" xfId="0" applyNumberFormat="1" applyFont="1" applyFill="1" applyBorder="1" applyAlignment="1">
      <alignment horizontal="right" vertical="center" indent="1"/>
    </xf>
    <xf numFmtId="4" fontId="3" fillId="0" borderId="14" xfId="24" applyNumberFormat="1" applyFont="1" applyFill="1" applyBorder="1" applyAlignment="1">
      <alignment horizontal="right" vertical="center" indent="1"/>
      <protection/>
    </xf>
    <xf numFmtId="4" fontId="3" fillId="0" borderId="15" xfId="0" applyNumberFormat="1" applyFont="1" applyFill="1" applyBorder="1" applyAlignment="1">
      <alignment horizontal="right" vertical="center" wrapText="1" indent="1"/>
    </xf>
    <xf numFmtId="164" fontId="16" fillId="0" borderId="0" xfId="24" applyNumberFormat="1" applyFont="1" applyFill="1" applyBorder="1" applyAlignment="1">
      <alignment horizontal="right" vertical="center" indent="1"/>
      <protection/>
    </xf>
    <xf numFmtId="165" fontId="16" fillId="0" borderId="0" xfId="24" applyNumberFormat="1" applyFont="1" applyFill="1" applyAlignment="1">
      <alignment horizontal="right" vertical="center" indent="1"/>
      <protection/>
    </xf>
    <xf numFmtId="0" fontId="3" fillId="0" borderId="0" xfId="24" applyFont="1" applyFill="1" applyAlignment="1">
      <alignment vertical="center"/>
      <protection/>
    </xf>
    <xf numFmtId="4" fontId="3" fillId="0" borderId="0" xfId="24" applyNumberFormat="1" applyFont="1" applyFill="1" applyAlignment="1">
      <alignment vertical="center"/>
      <protection/>
    </xf>
    <xf numFmtId="49" fontId="29" fillId="0" borderId="12" xfId="24" applyNumberFormat="1" applyFont="1" applyFill="1" applyBorder="1" applyAlignment="1">
      <alignment horizontal="center" vertical="center"/>
      <protection/>
    </xf>
    <xf numFmtId="49" fontId="29" fillId="0" borderId="14" xfId="24" applyNumberFormat="1" applyFont="1" applyFill="1" applyBorder="1" applyAlignment="1">
      <alignment horizontal="center" vertical="center"/>
      <protection/>
    </xf>
    <xf numFmtId="4" fontId="29" fillId="0" borderId="14" xfId="24" applyNumberFormat="1" applyFont="1" applyFill="1" applyBorder="1" applyAlignment="1">
      <alignment horizontal="left" vertical="center" wrapText="1"/>
      <protection/>
    </xf>
    <xf numFmtId="4" fontId="30" fillId="0" borderId="14" xfId="0" applyNumberFormat="1" applyFont="1" applyFill="1" applyBorder="1" applyAlignment="1">
      <alignment horizontal="center" vertical="center"/>
    </xf>
    <xf numFmtId="4" fontId="29" fillId="0" borderId="14" xfId="24" applyNumberFormat="1" applyFont="1" applyFill="1" applyBorder="1" applyAlignment="1">
      <alignment horizontal="right" vertical="center" indent="1"/>
      <protection/>
    </xf>
    <xf numFmtId="4" fontId="29" fillId="0" borderId="15" xfId="24" applyNumberFormat="1" applyFont="1" applyFill="1" applyBorder="1" applyAlignment="1">
      <alignment horizontal="right" vertical="center" indent="1"/>
      <protection/>
    </xf>
    <xf numFmtId="164" fontId="31" fillId="0" borderId="0" xfId="24" applyNumberFormat="1" applyFont="1" applyFill="1" applyBorder="1" applyAlignment="1">
      <alignment horizontal="right" vertical="center" indent="1"/>
      <protection/>
    </xf>
    <xf numFmtId="165" fontId="32" fillId="0" borderId="0" xfId="24" applyNumberFormat="1" applyFont="1" applyFill="1" applyAlignment="1">
      <alignment horizontal="right" vertical="center" indent="1"/>
      <protection/>
    </xf>
    <xf numFmtId="0" fontId="33" fillId="0" borderId="0" xfId="24" applyFont="1" applyFill="1" applyAlignment="1">
      <alignment vertical="center"/>
      <protection/>
    </xf>
    <xf numFmtId="4" fontId="33" fillId="0" borderId="0" xfId="24" applyNumberFormat="1" applyFont="1" applyFill="1" applyAlignment="1">
      <alignment vertical="center"/>
      <protection/>
    </xf>
    <xf numFmtId="49" fontId="3" fillId="0" borderId="14" xfId="24" applyNumberFormat="1" applyFont="1" applyFill="1" applyBorder="1" applyAlignment="1">
      <alignment horizontal="center" vertical="center"/>
      <protection/>
    </xf>
    <xf numFmtId="4" fontId="3" fillId="0" borderId="15" xfId="21" applyNumberFormat="1" applyFont="1" applyFill="1" applyBorder="1" applyAlignment="1">
      <alignment horizontal="right" vertical="center" indent="1"/>
      <protection/>
    </xf>
    <xf numFmtId="0" fontId="3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 indent="1"/>
    </xf>
    <xf numFmtId="164" fontId="16" fillId="0" borderId="0" xfId="25" applyNumberFormat="1" applyFont="1" applyFill="1" applyBorder="1" applyAlignment="1">
      <alignment horizontal="right" vertical="center" indent="1"/>
      <protection/>
    </xf>
    <xf numFmtId="165" fontId="7" fillId="0" borderId="0" xfId="0" applyNumberFormat="1" applyFont="1" applyFill="1" applyAlignment="1">
      <alignment horizontal="right" vertical="center" indent="1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164" fontId="35" fillId="0" borderId="0" xfId="24" applyNumberFormat="1" applyFont="1" applyFill="1" applyBorder="1" applyAlignment="1">
      <alignment horizontal="right" vertical="center" indent="1"/>
      <protection/>
    </xf>
    <xf numFmtId="165" fontId="35" fillId="0" borderId="0" xfId="24" applyNumberFormat="1" applyFont="1" applyFill="1" applyBorder="1" applyAlignment="1">
      <alignment horizontal="right" vertical="center" indent="1"/>
      <protection/>
    </xf>
    <xf numFmtId="49" fontId="2" fillId="0" borderId="14" xfId="24" applyNumberFormat="1" applyFont="1" applyFill="1" applyBorder="1" applyAlignment="1">
      <alignment horizontal="center" vertical="center"/>
      <protection/>
    </xf>
    <xf numFmtId="0" fontId="2" fillId="0" borderId="14" xfId="24" applyFont="1" applyFill="1" applyBorder="1" applyAlignment="1">
      <alignment vertical="center" wrapText="1"/>
      <protection/>
    </xf>
    <xf numFmtId="49" fontId="2" fillId="0" borderId="14" xfId="24" applyNumberFormat="1" applyFont="1" applyFill="1" applyBorder="1" applyAlignment="1">
      <alignment horizontal="center" vertical="center" shrinkToFit="1"/>
      <protection/>
    </xf>
    <xf numFmtId="4" fontId="2" fillId="0" borderId="14" xfId="24" applyNumberFormat="1" applyFont="1" applyFill="1" applyBorder="1" applyAlignment="1">
      <alignment horizontal="right" vertical="center" indent="1"/>
      <protection/>
    </xf>
    <xf numFmtId="49" fontId="2" fillId="0" borderId="12" xfId="24" applyNumberFormat="1" applyFont="1" applyFill="1" applyBorder="1" applyAlignment="1">
      <alignment horizontal="center" vertical="center"/>
      <protection/>
    </xf>
    <xf numFmtId="164" fontId="38" fillId="0" borderId="0" xfId="26" applyNumberFormat="1" applyFont="1" applyFill="1" applyBorder="1" applyAlignment="1">
      <alignment horizontal="right" vertical="center" indent="1"/>
      <protection/>
    </xf>
    <xf numFmtId="165" fontId="39" fillId="0" borderId="0" xfId="26" applyNumberFormat="1" applyFont="1" applyFill="1" applyAlignment="1">
      <alignment horizontal="right" vertical="center" indent="1"/>
      <protection/>
    </xf>
    <xf numFmtId="0" fontId="40" fillId="0" borderId="0" xfId="26" applyFont="1" applyFill="1">
      <alignment/>
      <protection/>
    </xf>
    <xf numFmtId="4" fontId="40" fillId="0" borderId="0" xfId="26" applyNumberFormat="1" applyFont="1" applyFill="1">
      <alignment/>
      <protection/>
    </xf>
    <xf numFmtId="49" fontId="29" fillId="0" borderId="12" xfId="26" applyNumberFormat="1" applyFont="1" applyFill="1" applyBorder="1" applyAlignment="1">
      <alignment horizontal="center" vertical="center"/>
      <protection/>
    </xf>
    <xf numFmtId="49" fontId="29" fillId="0" borderId="13" xfId="26" applyNumberFormat="1" applyFont="1" applyFill="1" applyBorder="1" applyAlignment="1">
      <alignment horizontal="center" vertical="center"/>
      <protection/>
    </xf>
    <xf numFmtId="4" fontId="30" fillId="0" borderId="14" xfId="26" applyNumberFormat="1" applyFont="1" applyFill="1" applyBorder="1" applyAlignment="1">
      <alignment horizontal="center" vertical="center"/>
      <protection/>
    </xf>
    <xf numFmtId="4" fontId="3" fillId="0" borderId="14" xfId="27" applyNumberFormat="1" applyFont="1" applyFill="1" applyBorder="1" applyAlignment="1">
      <alignment horizontal="right" vertical="center" wrapText="1" indent="1"/>
      <protection/>
    </xf>
    <xf numFmtId="4" fontId="3" fillId="0" borderId="14" xfId="25" applyNumberFormat="1" applyFont="1" applyFill="1" applyBorder="1" applyAlignment="1">
      <alignment horizontal="right" vertical="center" indent="1"/>
      <protection/>
    </xf>
    <xf numFmtId="4" fontId="3" fillId="0" borderId="15" xfId="27" applyNumberFormat="1" applyFont="1" applyFill="1" applyBorder="1" applyAlignment="1">
      <alignment horizontal="right" vertical="center" indent="1"/>
      <protection/>
    </xf>
    <xf numFmtId="165" fontId="16" fillId="0" borderId="0" xfId="24" applyNumberFormat="1" applyFont="1" applyFill="1" applyBorder="1" applyAlignment="1">
      <alignment horizontal="right" vertical="center" indent="1"/>
      <protection/>
    </xf>
    <xf numFmtId="0" fontId="3" fillId="0" borderId="0" xfId="24" applyFont="1" applyFill="1">
      <alignment/>
      <protection/>
    </xf>
    <xf numFmtId="4" fontId="3" fillId="0" borderId="0" xfId="24" applyNumberFormat="1" applyFont="1" applyFill="1">
      <alignment/>
      <protection/>
    </xf>
    <xf numFmtId="49" fontId="30" fillId="0" borderId="12" xfId="24" applyNumberFormat="1" applyFont="1" applyFill="1" applyBorder="1" applyAlignment="1">
      <alignment horizontal="center" vertical="center"/>
      <protection/>
    </xf>
    <xf numFmtId="4" fontId="30" fillId="0" borderId="14" xfId="24" applyNumberFormat="1" applyFont="1" applyFill="1" applyBorder="1" applyAlignment="1">
      <alignment horizontal="left" vertical="center" wrapText="1"/>
      <protection/>
    </xf>
    <xf numFmtId="4" fontId="30" fillId="0" borderId="14" xfId="24" applyNumberFormat="1" applyFont="1" applyFill="1" applyBorder="1" applyAlignment="1">
      <alignment horizontal="right" vertical="center" indent="1"/>
      <protection/>
    </xf>
    <xf numFmtId="4" fontId="30" fillId="0" borderId="15" xfId="24" applyNumberFormat="1" applyFont="1" applyFill="1" applyBorder="1" applyAlignment="1">
      <alignment horizontal="right" vertical="center" indent="1"/>
      <protection/>
    </xf>
    <xf numFmtId="164" fontId="38" fillId="0" borderId="0" xfId="24" applyNumberFormat="1" applyFont="1" applyFill="1" applyBorder="1" applyAlignment="1">
      <alignment horizontal="right" vertical="center" indent="1"/>
      <protection/>
    </xf>
    <xf numFmtId="165" fontId="39" fillId="0" borderId="0" xfId="24" applyNumberFormat="1" applyFont="1" applyFill="1" applyAlignment="1">
      <alignment horizontal="right" vertical="center" indent="1"/>
      <protection/>
    </xf>
    <xf numFmtId="0" fontId="40" fillId="0" borderId="0" xfId="24" applyFont="1" applyFill="1" applyAlignment="1">
      <alignment vertical="center"/>
      <protection/>
    </xf>
    <xf numFmtId="4" fontId="40" fillId="0" borderId="0" xfId="24" applyNumberFormat="1" applyFont="1" applyFill="1" applyAlignment="1">
      <alignment vertical="center"/>
      <protection/>
    </xf>
    <xf numFmtId="0" fontId="3" fillId="0" borderId="14" xfId="0" applyFont="1" applyFill="1" applyBorder="1" applyAlignment="1">
      <alignment vertical="center" wrapText="1"/>
    </xf>
    <xf numFmtId="49" fontId="2" fillId="0" borderId="17" xfId="28" applyNumberFormat="1" applyFont="1" applyFill="1" applyBorder="1" applyAlignment="1">
      <alignment horizontal="center"/>
      <protection/>
    </xf>
    <xf numFmtId="49" fontId="28" fillId="0" borderId="18" xfId="28" applyNumberFormat="1" applyFont="1" applyFill="1" applyBorder="1" applyAlignment="1">
      <alignment horizontal="center"/>
      <protection/>
    </xf>
    <xf numFmtId="0" fontId="28" fillId="0" borderId="18" xfId="28" applyFont="1" applyFill="1" applyBorder="1" applyAlignment="1">
      <alignment wrapText="1"/>
      <protection/>
    </xf>
    <xf numFmtId="49" fontId="28" fillId="0" borderId="18" xfId="28" applyNumberFormat="1" applyFont="1" applyFill="1" applyBorder="1" applyAlignment="1">
      <alignment horizontal="center" shrinkToFit="1"/>
      <protection/>
    </xf>
    <xf numFmtId="4" fontId="28" fillId="0" borderId="18" xfId="28" applyNumberFormat="1" applyFont="1" applyFill="1" applyBorder="1" applyAlignment="1">
      <alignment horizontal="right" vertical="center"/>
      <protection/>
    </xf>
    <xf numFmtId="4" fontId="28" fillId="0" borderId="18" xfId="28" applyNumberFormat="1" applyFont="1" applyFill="1" applyBorder="1" applyAlignment="1">
      <alignment horizontal="right" vertical="center" indent="1"/>
      <protection/>
    </xf>
    <xf numFmtId="4" fontId="28" fillId="0" borderId="19" xfId="28" applyNumberFormat="1" applyFont="1" applyFill="1" applyBorder="1">
      <alignment/>
      <protection/>
    </xf>
    <xf numFmtId="164" fontId="36" fillId="0" borderId="0" xfId="28" applyNumberFormat="1" applyFont="1" applyFill="1" applyBorder="1" applyAlignment="1">
      <alignment horizontal="right" vertical="center" indent="1"/>
      <protection/>
    </xf>
    <xf numFmtId="165" fontId="36" fillId="0" borderId="0" xfId="28" applyNumberFormat="1" applyFont="1" applyAlignment="1">
      <alignment horizontal="right" vertical="center" indent="1"/>
      <protection/>
    </xf>
    <xf numFmtId="0" fontId="28" fillId="0" borderId="0" xfId="28">
      <alignment/>
      <protection/>
    </xf>
    <xf numFmtId="4" fontId="28" fillId="0" borderId="0" xfId="28" applyNumberFormat="1">
      <alignment/>
      <protection/>
    </xf>
    <xf numFmtId="49" fontId="2" fillId="0" borderId="20" xfId="28" applyNumberFormat="1" applyFont="1" applyFill="1" applyBorder="1" applyAlignment="1">
      <alignment horizontal="center"/>
      <protection/>
    </xf>
    <xf numFmtId="49" fontId="28" fillId="0" borderId="21" xfId="28" applyNumberFormat="1" applyFont="1" applyFill="1" applyBorder="1" applyAlignment="1">
      <alignment horizontal="center"/>
      <protection/>
    </xf>
    <xf numFmtId="0" fontId="28" fillId="0" borderId="21" xfId="28" applyFont="1" applyFill="1" applyBorder="1" applyAlignment="1">
      <alignment wrapText="1"/>
      <protection/>
    </xf>
    <xf numFmtId="49" fontId="28" fillId="0" borderId="21" xfId="28" applyNumberFormat="1" applyFont="1" applyFill="1" applyBorder="1" applyAlignment="1">
      <alignment horizontal="center" shrinkToFit="1"/>
      <protection/>
    </xf>
    <xf numFmtId="4" fontId="28" fillId="0" borderId="21" xfId="28" applyNumberFormat="1" applyFont="1" applyFill="1" applyBorder="1" applyAlignment="1">
      <alignment horizontal="right" vertical="center"/>
      <protection/>
    </xf>
    <xf numFmtId="4" fontId="28" fillId="0" borderId="21" xfId="28" applyNumberFormat="1" applyFont="1" applyFill="1" applyBorder="1" applyAlignment="1">
      <alignment horizontal="right" vertical="center" indent="1"/>
      <protection/>
    </xf>
    <xf numFmtId="4" fontId="28" fillId="0" borderId="22" xfId="28" applyNumberFormat="1" applyFont="1" applyFill="1" applyBorder="1">
      <alignment/>
      <protection/>
    </xf>
    <xf numFmtId="0" fontId="0" fillId="0" borderId="0" xfId="0" applyFill="1"/>
    <xf numFmtId="4" fontId="23" fillId="26" borderId="23" xfId="29" applyNumberFormat="1" applyFont="1" applyFill="1" applyBorder="1" applyAlignment="1">
      <alignment horizontal="right" vertical="center" indent="1"/>
      <protection/>
    </xf>
    <xf numFmtId="164" fontId="16" fillId="0" borderId="0" xfId="0" applyNumberFormat="1" applyFont="1" applyFill="1" applyAlignment="1">
      <alignment horizontal="right" vertical="center" indent="1"/>
    </xf>
    <xf numFmtId="4" fontId="30" fillId="0" borderId="16" xfId="0" applyNumberFormat="1" applyFont="1" applyFill="1" applyBorder="1" applyAlignment="1">
      <alignment horizontal="right" vertical="center" indent="1"/>
    </xf>
    <xf numFmtId="49" fontId="41" fillId="0" borderId="12" xfId="24" applyNumberFormat="1" applyFont="1" applyFill="1" applyBorder="1" applyAlignment="1">
      <alignment horizontal="center" vertical="center"/>
      <protection/>
    </xf>
    <xf numFmtId="4" fontId="41" fillId="0" borderId="14" xfId="24" applyNumberFormat="1" applyFont="1" applyFill="1" applyBorder="1" applyAlignment="1">
      <alignment horizontal="right" vertical="center" indent="1"/>
      <protection/>
    </xf>
    <xf numFmtId="0" fontId="41" fillId="0" borderId="0" xfId="24" applyFont="1" applyFill="1" applyAlignment="1">
      <alignment vertical="center"/>
      <protection/>
    </xf>
    <xf numFmtId="49" fontId="2" fillId="0" borderId="24" xfId="20" applyNumberFormat="1" applyFont="1" applyBorder="1" applyAlignment="1">
      <alignment vertical="center"/>
      <protection/>
    </xf>
    <xf numFmtId="49" fontId="2" fillId="0" borderId="25" xfId="20" applyNumberFormat="1" applyFont="1" applyBorder="1" applyAlignment="1">
      <alignment horizontal="center" vertical="center" wrapText="1"/>
      <protection/>
    </xf>
    <xf numFmtId="49" fontId="5" fillId="0" borderId="26" xfId="20" applyNumberFormat="1" applyFont="1" applyBorder="1" applyAlignment="1">
      <alignment horizontal="center" vertical="center"/>
      <protection/>
    </xf>
    <xf numFmtId="165" fontId="7" fillId="0" borderId="0" xfId="20" applyNumberFormat="1" applyFont="1" applyAlignment="1">
      <alignment horizontal="right" vertical="center" indent="1"/>
      <protection/>
    </xf>
    <xf numFmtId="0" fontId="0" fillId="0" borderId="0" xfId="20" applyAlignment="1">
      <alignment vertical="center"/>
      <protection/>
    </xf>
    <xf numFmtId="4" fontId="0" fillId="0" borderId="0" xfId="20" applyNumberFormat="1" applyAlignment="1">
      <alignment vertical="center"/>
      <protection/>
    </xf>
    <xf numFmtId="49" fontId="2" fillId="0" borderId="27" xfId="20" applyNumberFormat="1" applyFont="1" applyBorder="1" applyAlignment="1">
      <alignment vertical="center"/>
      <protection/>
    </xf>
    <xf numFmtId="4" fontId="8" fillId="0" borderId="0" xfId="20" applyNumberFormat="1" applyFont="1" applyBorder="1" applyAlignment="1">
      <alignment horizontal="left" vertical="center"/>
      <protection/>
    </xf>
    <xf numFmtId="4" fontId="2" fillId="0" borderId="11" xfId="20" applyNumberFormat="1" applyFont="1" applyBorder="1" applyAlignment="1">
      <alignment vertical="center" wrapText="1"/>
      <protection/>
    </xf>
    <xf numFmtId="0" fontId="0" fillId="0" borderId="0" xfId="20">
      <alignment/>
      <protection/>
    </xf>
    <xf numFmtId="4" fontId="0" fillId="0" borderId="0" xfId="20" applyNumberFormat="1">
      <alignment/>
      <protection/>
    </xf>
    <xf numFmtId="0" fontId="14" fillId="0" borderId="0" xfId="20" applyFont="1" applyAlignment="1">
      <alignment vertical="center"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15" fillId="0" borderId="0" xfId="20" applyFont="1" applyFill="1" applyBorder="1" applyAlignment="1">
      <alignment vertical="center"/>
      <protection/>
    </xf>
    <xf numFmtId="0" fontId="0" fillId="0" borderId="0" xfId="20" applyFill="1" applyBorder="1" applyAlignment="1">
      <alignment/>
      <protection/>
    </xf>
    <xf numFmtId="4" fontId="0" fillId="0" borderId="0" xfId="20" applyNumberFormat="1" applyFont="1" applyFill="1" applyBorder="1" applyAlignment="1">
      <alignment horizontal="center" vertical="center"/>
      <protection/>
    </xf>
    <xf numFmtId="4" fontId="0" fillId="0" borderId="11" xfId="20" applyNumberFormat="1" applyFill="1" applyBorder="1" applyAlignment="1">
      <alignment vertical="center"/>
      <protection/>
    </xf>
    <xf numFmtId="164" fontId="7" fillId="0" borderId="0" xfId="20" applyNumberFormat="1" applyFont="1" applyBorder="1" applyAlignment="1">
      <alignment horizontal="right" vertical="center" indent="1"/>
      <protection/>
    </xf>
    <xf numFmtId="49" fontId="3" fillId="0" borderId="28" xfId="20" applyNumberFormat="1" applyFont="1" applyBorder="1" applyAlignment="1">
      <alignment horizontal="center"/>
      <protection/>
    </xf>
    <xf numFmtId="49" fontId="0" fillId="0" borderId="29" xfId="20" applyNumberFormat="1" applyBorder="1" applyAlignment="1">
      <alignment horizontal="center"/>
      <protection/>
    </xf>
    <xf numFmtId="0" fontId="0" fillId="0" borderId="29" xfId="20" applyBorder="1">
      <alignment/>
      <protection/>
    </xf>
    <xf numFmtId="166" fontId="0" fillId="0" borderId="29" xfId="20" applyNumberFormat="1" applyBorder="1">
      <alignment/>
      <protection/>
    </xf>
    <xf numFmtId="4" fontId="0" fillId="0" borderId="29" xfId="20" applyNumberFormat="1" applyFont="1" applyBorder="1" applyAlignment="1">
      <alignment horizontal="center" vertical="center"/>
      <protection/>
    </xf>
    <xf numFmtId="4" fontId="0" fillId="0" borderId="30" xfId="20" applyNumberFormat="1" applyBorder="1">
      <alignment/>
      <protection/>
    </xf>
    <xf numFmtId="164" fontId="16" fillId="0" borderId="0" xfId="20" applyNumberFormat="1" applyFont="1" applyBorder="1" applyAlignment="1">
      <alignment horizontal="right" vertical="center" indent="1"/>
      <protection/>
    </xf>
    <xf numFmtId="49" fontId="3" fillId="0" borderId="31" xfId="20" applyNumberFormat="1" applyFont="1" applyBorder="1" applyAlignment="1">
      <alignment horizontal="center" vertical="center" wrapText="1"/>
      <protection/>
    </xf>
    <xf numFmtId="49" fontId="3" fillId="0" borderId="32" xfId="20" applyNumberFormat="1" applyFont="1" applyBorder="1" applyAlignment="1">
      <alignment horizontal="center" vertical="center" wrapText="1"/>
      <protection/>
    </xf>
    <xf numFmtId="0" fontId="17" fillId="0" borderId="33" xfId="20" applyFont="1" applyBorder="1" applyAlignment="1">
      <alignment horizontal="center" vertical="center" wrapText="1"/>
      <protection/>
    </xf>
    <xf numFmtId="0" fontId="3" fillId="0" borderId="33" xfId="20" applyFont="1" applyBorder="1" applyAlignment="1">
      <alignment horizontal="center" vertical="center" wrapText="1"/>
      <protection/>
    </xf>
    <xf numFmtId="166" fontId="3" fillId="0" borderId="33" xfId="20" applyNumberFormat="1" applyFont="1" applyBorder="1" applyAlignment="1">
      <alignment horizontal="center" vertical="center" wrapText="1"/>
      <protection/>
    </xf>
    <xf numFmtId="4" fontId="3" fillId="0" borderId="33" xfId="20" applyNumberFormat="1" applyFont="1" applyBorder="1" applyAlignment="1">
      <alignment horizontal="center" vertical="center" wrapText="1"/>
      <protection/>
    </xf>
    <xf numFmtId="4" fontId="3" fillId="0" borderId="34" xfId="20" applyNumberFormat="1" applyFont="1" applyBorder="1" applyAlignment="1">
      <alignment horizontal="center" vertical="center" wrapText="1"/>
      <protection/>
    </xf>
    <xf numFmtId="165" fontId="16" fillId="0" borderId="0" xfId="20" applyNumberFormat="1" applyFont="1" applyAlignment="1">
      <alignment horizontal="right" vertical="center" wrapText="1" indent="1"/>
      <protection/>
    </xf>
    <xf numFmtId="0" fontId="3" fillId="0" borderId="0" xfId="20" applyFont="1" applyAlignment="1">
      <alignment horizontal="center" vertical="center" wrapText="1"/>
      <protection/>
    </xf>
    <xf numFmtId="4" fontId="3" fillId="0" borderId="0" xfId="20" applyNumberFormat="1" applyFont="1" applyAlignment="1">
      <alignment horizontal="center" vertical="center" wrapText="1"/>
      <protection/>
    </xf>
    <xf numFmtId="49" fontId="3" fillId="0" borderId="35" xfId="20" applyNumberFormat="1" applyFont="1" applyFill="1" applyBorder="1" applyAlignment="1">
      <alignment horizontal="center" vertical="center" wrapText="1"/>
      <protection/>
    </xf>
    <xf numFmtId="49" fontId="3" fillId="0" borderId="36" xfId="20" applyNumberFormat="1" applyFont="1" applyFill="1" applyBorder="1" applyAlignment="1">
      <alignment horizontal="center" vertical="center" wrapText="1"/>
      <protection/>
    </xf>
    <xf numFmtId="0" fontId="17" fillId="0" borderId="16" xfId="20" applyFont="1" applyFill="1" applyBorder="1" applyAlignment="1">
      <alignment vertical="center" wrapText="1"/>
      <protection/>
    </xf>
    <xf numFmtId="0" fontId="3" fillId="0" borderId="16" xfId="20" applyFont="1" applyFill="1" applyBorder="1" applyAlignment="1">
      <alignment horizontal="center" vertical="center" wrapText="1"/>
      <protection/>
    </xf>
    <xf numFmtId="166" fontId="3" fillId="0" borderId="16" xfId="20" applyNumberFormat="1" applyFont="1" applyFill="1" applyBorder="1" applyAlignment="1">
      <alignment horizontal="center" vertical="center" wrapText="1"/>
      <protection/>
    </xf>
    <xf numFmtId="4" fontId="3" fillId="0" borderId="16" xfId="20" applyNumberFormat="1" applyFont="1" applyFill="1" applyBorder="1" applyAlignment="1">
      <alignment horizontal="center" vertical="center" wrapText="1"/>
      <protection/>
    </xf>
    <xf numFmtId="4" fontId="3" fillId="0" borderId="37" xfId="20" applyNumberFormat="1" applyFont="1" applyFill="1" applyBorder="1" applyAlignment="1">
      <alignment horizontal="center" vertical="center" wrapText="1"/>
      <protection/>
    </xf>
    <xf numFmtId="164" fontId="16" fillId="0" borderId="0" xfId="20" applyNumberFormat="1" applyFont="1" applyFill="1" applyBorder="1" applyAlignment="1">
      <alignment horizontal="right" vertical="center" indent="1"/>
      <protection/>
    </xf>
    <xf numFmtId="165" fontId="16" fillId="0" borderId="0" xfId="20" applyNumberFormat="1" applyFont="1" applyFill="1" applyAlignment="1">
      <alignment horizontal="right" vertical="center" wrapText="1" indent="1"/>
      <protection/>
    </xf>
    <xf numFmtId="0" fontId="3" fillId="0" borderId="0" xfId="20" applyFont="1" applyFill="1" applyAlignment="1">
      <alignment horizontal="center" vertical="center" wrapText="1"/>
      <protection/>
    </xf>
    <xf numFmtId="4" fontId="3" fillId="0" borderId="0" xfId="20" applyNumberFormat="1" applyFont="1" applyFill="1" applyAlignment="1">
      <alignment horizontal="center" vertical="center" wrapText="1"/>
      <protection/>
    </xf>
    <xf numFmtId="49" fontId="3" fillId="0" borderId="12" xfId="20" applyNumberFormat="1" applyFont="1" applyBorder="1" applyAlignment="1">
      <alignment horizontal="center" vertical="center" wrapText="1"/>
      <protection/>
    </xf>
    <xf numFmtId="49" fontId="3" fillId="0" borderId="13" xfId="20" applyNumberFormat="1" applyFont="1" applyBorder="1" applyAlignment="1">
      <alignment horizontal="center" vertical="center" wrapText="1"/>
      <protection/>
    </xf>
    <xf numFmtId="0" fontId="3" fillId="0" borderId="14" xfId="20" applyFont="1" applyBorder="1" applyAlignment="1">
      <alignment horizontal="center" vertical="center" wrapText="1"/>
      <protection/>
    </xf>
    <xf numFmtId="166" fontId="3" fillId="0" borderId="14" xfId="20" applyNumberFormat="1" applyFont="1" applyBorder="1" applyAlignment="1">
      <alignment horizontal="center" vertical="center" wrapText="1"/>
      <protection/>
    </xf>
    <xf numFmtId="4" fontId="3" fillId="0" borderId="14" xfId="20" applyNumberFormat="1" applyFont="1" applyBorder="1" applyAlignment="1">
      <alignment horizontal="center" vertical="center" wrapText="1"/>
      <protection/>
    </xf>
    <xf numFmtId="4" fontId="3" fillId="0" borderId="15" xfId="20" applyNumberFormat="1" applyFont="1" applyBorder="1" applyAlignment="1">
      <alignment horizontal="center" vertical="center" wrapText="1"/>
      <protection/>
    </xf>
    <xf numFmtId="49" fontId="3" fillId="0" borderId="12" xfId="20" applyNumberFormat="1" applyFont="1" applyBorder="1" applyAlignment="1">
      <alignment horizontal="center" vertical="center"/>
      <protection/>
    </xf>
    <xf numFmtId="49" fontId="0" fillId="0" borderId="13" xfId="20" applyNumberFormat="1" applyBorder="1" applyAlignment="1">
      <alignment horizontal="center" vertical="center"/>
      <protection/>
    </xf>
    <xf numFmtId="0" fontId="9" fillId="0" borderId="14" xfId="20" applyFont="1" applyBorder="1" applyAlignment="1">
      <alignment vertical="center"/>
      <protection/>
    </xf>
    <xf numFmtId="0" fontId="0" fillId="0" borderId="14" xfId="20" applyBorder="1" applyAlignment="1">
      <alignment vertical="center"/>
      <protection/>
    </xf>
    <xf numFmtId="166" fontId="0" fillId="0" borderId="14" xfId="20" applyNumberFormat="1" applyBorder="1" applyAlignment="1">
      <alignment vertical="center"/>
      <protection/>
    </xf>
    <xf numFmtId="4" fontId="0" fillId="0" borderId="14" xfId="20" applyNumberFormat="1" applyFont="1" applyBorder="1" applyAlignment="1">
      <alignment horizontal="center" vertical="center"/>
      <protection/>
    </xf>
    <xf numFmtId="4" fontId="0" fillId="0" borderId="15" xfId="20" applyNumberFormat="1" applyBorder="1" applyAlignment="1">
      <alignment horizontal="right" vertical="center"/>
      <protection/>
    </xf>
    <xf numFmtId="49" fontId="3" fillId="0" borderId="13" xfId="20" applyNumberFormat="1" applyFont="1" applyBorder="1" applyAlignment="1">
      <alignment horizontal="center" vertical="center"/>
      <protection/>
    </xf>
    <xf numFmtId="49" fontId="3" fillId="0" borderId="14" xfId="20" applyNumberFormat="1" applyFont="1" applyBorder="1" applyAlignment="1">
      <alignment vertical="center"/>
      <protection/>
    </xf>
    <xf numFmtId="0" fontId="3" fillId="0" borderId="14" xfId="20" applyFont="1" applyBorder="1" applyAlignment="1">
      <alignment vertical="center"/>
      <protection/>
    </xf>
    <xf numFmtId="166" fontId="3" fillId="0" borderId="14" xfId="20" applyNumberFormat="1" applyFont="1" applyBorder="1" applyAlignment="1">
      <alignment vertical="center"/>
      <protection/>
    </xf>
    <xf numFmtId="4" fontId="3" fillId="0" borderId="14" xfId="20" applyNumberFormat="1" applyFont="1" applyBorder="1" applyAlignment="1">
      <alignment horizontal="center" vertical="center"/>
      <protection/>
    </xf>
    <xf numFmtId="4" fontId="3" fillId="0" borderId="15" xfId="20" applyNumberFormat="1" applyFont="1" applyBorder="1" applyAlignment="1">
      <alignment horizontal="right" vertical="center" indent="1"/>
      <protection/>
    </xf>
    <xf numFmtId="165" fontId="16" fillId="0" borderId="0" xfId="20" applyNumberFormat="1" applyFont="1" applyAlignment="1">
      <alignment horizontal="right" vertical="center" indent="1"/>
      <protection/>
    </xf>
    <xf numFmtId="0" fontId="3" fillId="0" borderId="0" xfId="20" applyFont="1" applyAlignment="1">
      <alignment vertical="center"/>
      <protection/>
    </xf>
    <xf numFmtId="4" fontId="3" fillId="0" borderId="0" xfId="20" applyNumberFormat="1" applyFont="1" applyAlignment="1">
      <alignment vertical="center"/>
      <protection/>
    </xf>
    <xf numFmtId="49" fontId="3" fillId="0" borderId="12" xfId="20" applyNumberFormat="1" applyFont="1" applyFill="1" applyBorder="1" applyAlignment="1">
      <alignment horizontal="center" vertical="center"/>
      <protection/>
    </xf>
    <xf numFmtId="49" fontId="3" fillId="0" borderId="13" xfId="20" applyNumberFormat="1" applyFont="1" applyFill="1" applyBorder="1" applyAlignment="1">
      <alignment horizontal="center" vertical="center"/>
      <protection/>
    </xf>
    <xf numFmtId="4" fontId="3" fillId="0" borderId="15" xfId="20" applyNumberFormat="1" applyFont="1" applyFill="1" applyBorder="1" applyAlignment="1">
      <alignment horizontal="right" vertical="center" indent="1"/>
      <protection/>
    </xf>
    <xf numFmtId="49" fontId="3" fillId="0" borderId="14" xfId="20" applyNumberFormat="1" applyFont="1" applyFill="1" applyBorder="1" applyAlignment="1">
      <alignment vertical="center"/>
      <protection/>
    </xf>
    <xf numFmtId="0" fontId="3" fillId="0" borderId="14" xfId="20" applyFont="1" applyFill="1" applyBorder="1" applyAlignment="1">
      <alignment vertical="center"/>
      <protection/>
    </xf>
    <xf numFmtId="166" fontId="3" fillId="0" borderId="14" xfId="20" applyNumberFormat="1" applyFont="1" applyFill="1" applyBorder="1" applyAlignment="1">
      <alignment vertical="center"/>
      <protection/>
    </xf>
    <xf numFmtId="4" fontId="3" fillId="0" borderId="14" xfId="20" applyNumberFormat="1" applyFont="1" applyFill="1" applyBorder="1" applyAlignment="1">
      <alignment horizontal="center" vertical="center"/>
      <protection/>
    </xf>
    <xf numFmtId="165" fontId="16" fillId="0" borderId="0" xfId="20" applyNumberFormat="1" applyFont="1" applyFill="1" applyAlignment="1">
      <alignment horizontal="right" vertical="center" indent="1"/>
      <protection/>
    </xf>
    <xf numFmtId="0" fontId="3" fillId="0" borderId="0" xfId="20" applyFont="1" applyFill="1" applyAlignment="1">
      <alignment vertical="center"/>
      <protection/>
    </xf>
    <xf numFmtId="4" fontId="3" fillId="0" borderId="0" xfId="20" applyNumberFormat="1" applyFont="1" applyFill="1" applyAlignment="1">
      <alignment vertical="center"/>
      <protection/>
    </xf>
    <xf numFmtId="49" fontId="3" fillId="0" borderId="38" xfId="20" applyNumberFormat="1" applyFont="1" applyFill="1" applyBorder="1" applyAlignment="1">
      <alignment horizontal="center" vertical="center"/>
      <protection/>
    </xf>
    <xf numFmtId="49" fontId="3" fillId="0" borderId="39" xfId="20" applyNumberFormat="1" applyFont="1" applyFill="1" applyBorder="1" applyAlignment="1">
      <alignment horizontal="center" vertical="center"/>
      <protection/>
    </xf>
    <xf numFmtId="49" fontId="3" fillId="0" borderId="40" xfId="20" applyNumberFormat="1" applyFont="1" applyBorder="1" applyAlignment="1">
      <alignment vertical="center"/>
      <protection/>
    </xf>
    <xf numFmtId="0" fontId="3" fillId="0" borderId="40" xfId="20" applyFont="1" applyBorder="1" applyAlignment="1">
      <alignment vertical="center"/>
      <protection/>
    </xf>
    <xf numFmtId="166" fontId="3" fillId="0" borderId="40" xfId="20" applyNumberFormat="1" applyFont="1" applyBorder="1" applyAlignment="1">
      <alignment vertical="center"/>
      <protection/>
    </xf>
    <xf numFmtId="4" fontId="3" fillId="0" borderId="40" xfId="20" applyNumberFormat="1" applyFont="1" applyBorder="1" applyAlignment="1">
      <alignment horizontal="center" vertical="center"/>
      <protection/>
    </xf>
    <xf numFmtId="4" fontId="3" fillId="0" borderId="41" xfId="20" applyNumberFormat="1" applyFont="1" applyBorder="1" applyAlignment="1">
      <alignment horizontal="right" vertical="center" indent="1"/>
      <protection/>
    </xf>
    <xf numFmtId="49" fontId="3" fillId="0" borderId="20" xfId="20" applyNumberFormat="1" applyFont="1" applyBorder="1" applyAlignment="1">
      <alignment horizontal="center" vertical="center"/>
      <protection/>
    </xf>
    <xf numFmtId="49" fontId="0" fillId="0" borderId="42" xfId="20" applyNumberFormat="1" applyBorder="1" applyAlignment="1">
      <alignment horizontal="center" vertical="center"/>
      <protection/>
    </xf>
    <xf numFmtId="0" fontId="0" fillId="0" borderId="21" xfId="20" applyBorder="1" applyAlignment="1">
      <alignment vertical="center"/>
      <protection/>
    </xf>
    <xf numFmtId="166" fontId="0" fillId="0" borderId="21" xfId="20" applyNumberFormat="1" applyBorder="1" applyAlignment="1">
      <alignment vertical="center"/>
      <protection/>
    </xf>
    <xf numFmtId="4" fontId="0" fillId="0" borderId="21" xfId="20" applyNumberFormat="1" applyFont="1" applyBorder="1" applyAlignment="1">
      <alignment horizontal="center" vertical="center"/>
      <protection/>
    </xf>
    <xf numFmtId="4" fontId="0" fillId="0" borderId="22" xfId="20" applyNumberFormat="1" applyBorder="1" applyAlignment="1">
      <alignment horizontal="right" vertical="center" indent="1"/>
      <protection/>
    </xf>
    <xf numFmtId="49" fontId="21" fillId="23" borderId="43" xfId="20" applyNumberFormat="1" applyFont="1" applyFill="1" applyBorder="1" applyAlignment="1">
      <alignment horizontal="center" vertical="center"/>
      <protection/>
    </xf>
    <xf numFmtId="49" fontId="22" fillId="23" borderId="44" xfId="20" applyNumberFormat="1" applyFont="1" applyFill="1" applyBorder="1" applyAlignment="1">
      <alignment horizontal="center" vertical="center"/>
      <protection/>
    </xf>
    <xf numFmtId="0" fontId="22" fillId="23" borderId="44" xfId="20" applyFont="1" applyFill="1" applyBorder="1" applyAlignment="1">
      <alignment vertical="center"/>
      <protection/>
    </xf>
    <xf numFmtId="166" fontId="22" fillId="23" borderId="44" xfId="20" applyNumberFormat="1" applyFont="1" applyFill="1" applyBorder="1" applyAlignment="1">
      <alignment vertical="center"/>
      <protection/>
    </xf>
    <xf numFmtId="4" fontId="11" fillId="23" borderId="44" xfId="20" applyNumberFormat="1" applyFont="1" applyFill="1" applyBorder="1" applyAlignment="1">
      <alignment horizontal="center" vertical="center"/>
      <protection/>
    </xf>
    <xf numFmtId="4" fontId="23" fillId="23" borderId="23" xfId="20" applyNumberFormat="1" applyFont="1" applyFill="1" applyBorder="1" applyAlignment="1">
      <alignment horizontal="right" vertical="center" indent="1"/>
      <protection/>
    </xf>
    <xf numFmtId="164" fontId="24" fillId="0" borderId="0" xfId="20" applyNumberFormat="1" applyFont="1" applyBorder="1" applyAlignment="1">
      <alignment horizontal="right" vertical="center" indent="1"/>
      <protection/>
    </xf>
    <xf numFmtId="165" fontId="12" fillId="0" borderId="0" xfId="20" applyNumberFormat="1" applyFont="1" applyAlignment="1">
      <alignment horizontal="right" vertical="center" indent="1"/>
      <protection/>
    </xf>
    <xf numFmtId="0" fontId="22" fillId="0" borderId="0" xfId="20" applyFont="1" applyAlignment="1">
      <alignment vertical="center"/>
      <protection/>
    </xf>
    <xf numFmtId="4" fontId="22" fillId="0" borderId="0" xfId="20" applyNumberFormat="1" applyFont="1" applyAlignment="1">
      <alignment vertical="center"/>
      <protection/>
    </xf>
    <xf numFmtId="49" fontId="3" fillId="27" borderId="43" xfId="20" applyNumberFormat="1" applyFont="1" applyFill="1" applyBorder="1" applyAlignment="1">
      <alignment horizontal="center"/>
      <protection/>
    </xf>
    <xf numFmtId="49" fontId="0" fillId="27" borderId="44" xfId="20" applyNumberFormat="1" applyFill="1" applyBorder="1" applyAlignment="1">
      <alignment horizontal="center"/>
      <protection/>
    </xf>
    <xf numFmtId="0" fontId="0" fillId="27" borderId="44" xfId="20" applyFill="1" applyBorder="1">
      <alignment/>
      <protection/>
    </xf>
    <xf numFmtId="166" fontId="0" fillId="27" borderId="44" xfId="20" applyNumberFormat="1" applyFill="1" applyBorder="1" applyAlignment="1">
      <alignment horizontal="right" vertical="center" indent="1"/>
      <protection/>
    </xf>
    <xf numFmtId="4" fontId="0" fillId="27" borderId="44" xfId="20" applyNumberFormat="1" applyFont="1" applyFill="1" applyBorder="1" applyAlignment="1">
      <alignment horizontal="center" vertical="center"/>
      <protection/>
    </xf>
    <xf numFmtId="4" fontId="0" fillId="27" borderId="23" xfId="20" applyNumberFormat="1" applyFill="1" applyBorder="1" applyAlignment="1">
      <alignment horizontal="right" vertical="center" indent="1"/>
      <protection/>
    </xf>
    <xf numFmtId="49" fontId="25" fillId="28" borderId="43" xfId="20" applyNumberFormat="1" applyFont="1" applyFill="1" applyBorder="1" applyAlignment="1">
      <alignment horizontal="center" vertical="center"/>
      <protection/>
    </xf>
    <xf numFmtId="49" fontId="17" fillId="28" borderId="44" xfId="20" applyNumberFormat="1" applyFont="1" applyFill="1" applyBorder="1" applyAlignment="1">
      <alignment horizontal="center" vertical="center"/>
      <protection/>
    </xf>
    <xf numFmtId="0" fontId="26" fillId="28" borderId="44" xfId="20" applyFont="1" applyFill="1" applyBorder="1" applyAlignment="1">
      <alignment vertical="center"/>
      <protection/>
    </xf>
    <xf numFmtId="0" fontId="17" fillId="28" borderId="44" xfId="20" applyFont="1" applyFill="1" applyBorder="1" applyAlignment="1">
      <alignment horizontal="center" vertical="center"/>
      <protection/>
    </xf>
    <xf numFmtId="166" fontId="17" fillId="28" borderId="44" xfId="20" applyNumberFormat="1" applyFont="1" applyFill="1" applyBorder="1" applyAlignment="1">
      <alignment horizontal="center" vertical="center"/>
      <protection/>
    </xf>
    <xf numFmtId="4" fontId="17" fillId="28" borderId="44" xfId="20" applyNumberFormat="1" applyFont="1" applyFill="1" applyBorder="1" applyAlignment="1">
      <alignment horizontal="center" vertical="center"/>
      <protection/>
    </xf>
    <xf numFmtId="4" fontId="17" fillId="28" borderId="23" xfId="20" applyNumberFormat="1" applyFont="1" applyFill="1" applyBorder="1" applyAlignment="1">
      <alignment horizontal="right" vertical="center" indent="1"/>
      <protection/>
    </xf>
    <xf numFmtId="165" fontId="27" fillId="0" borderId="0" xfId="20" applyNumberFormat="1" applyFont="1" applyAlignment="1">
      <alignment horizontal="right" vertical="center" indent="1"/>
      <protection/>
    </xf>
    <xf numFmtId="0" fontId="17" fillId="0" borderId="0" xfId="20" applyFont="1" applyAlignment="1">
      <alignment vertical="center"/>
      <protection/>
    </xf>
    <xf numFmtId="4" fontId="17" fillId="0" borderId="0" xfId="20" applyNumberFormat="1" applyFont="1" applyAlignment="1">
      <alignment vertical="center"/>
      <protection/>
    </xf>
    <xf numFmtId="49" fontId="3" fillId="0" borderId="17" xfId="20" applyNumberFormat="1" applyFont="1" applyBorder="1" applyAlignment="1">
      <alignment horizontal="center" vertical="center"/>
      <protection/>
    </xf>
    <xf numFmtId="0" fontId="0" fillId="0" borderId="18" xfId="20" applyBorder="1" applyAlignment="1">
      <alignment vertical="center" wrapText="1"/>
      <protection/>
    </xf>
    <xf numFmtId="0" fontId="0" fillId="0" borderId="18" xfId="20" applyBorder="1" applyAlignment="1">
      <alignment horizontal="center" vertical="center"/>
      <protection/>
    </xf>
    <xf numFmtId="166" fontId="0" fillId="0" borderId="18" xfId="20" applyNumberFormat="1" applyFill="1" applyBorder="1" applyAlignment="1">
      <alignment horizontal="center" vertical="center"/>
      <protection/>
    </xf>
    <xf numFmtId="4" fontId="0" fillId="0" borderId="18" xfId="20" applyNumberFormat="1" applyFont="1" applyBorder="1" applyAlignment="1">
      <alignment horizontal="center" vertical="center"/>
      <protection/>
    </xf>
    <xf numFmtId="4" fontId="0" fillId="0" borderId="19" xfId="20" applyNumberFormat="1" applyBorder="1" applyAlignment="1">
      <alignment horizontal="right" vertical="center" indent="1"/>
      <protection/>
    </xf>
    <xf numFmtId="4" fontId="3" fillId="0" borderId="15" xfId="20" applyNumberFormat="1" applyFont="1" applyFill="1" applyBorder="1" applyAlignment="1">
      <alignment horizontal="right" vertical="center" wrapText="1" indent="1"/>
      <protection/>
    </xf>
    <xf numFmtId="49" fontId="78" fillId="0" borderId="12" xfId="276" applyNumberFormat="1" applyFont="1" applyFill="1" applyBorder="1" applyAlignment="1">
      <alignment horizontal="center" vertical="center"/>
      <protection/>
    </xf>
    <xf numFmtId="49" fontId="78" fillId="0" borderId="14" xfId="276" applyNumberFormat="1" applyFont="1" applyFill="1" applyBorder="1" applyAlignment="1">
      <alignment horizontal="center" vertical="center"/>
      <protection/>
    </xf>
    <xf numFmtId="4" fontId="78" fillId="0" borderId="14" xfId="276" applyNumberFormat="1" applyFont="1" applyFill="1" applyBorder="1" applyAlignment="1">
      <alignment horizontal="right" vertical="center" indent="1"/>
      <protection/>
    </xf>
    <xf numFmtId="4" fontId="41" fillId="0" borderId="15" xfId="20" applyNumberFormat="1" applyFont="1" applyFill="1" applyBorder="1" applyAlignment="1">
      <alignment horizontal="right" vertical="center" wrapText="1" indent="1"/>
      <protection/>
    </xf>
    <xf numFmtId="164" fontId="78" fillId="0" borderId="0" xfId="276" applyNumberFormat="1" applyFont="1" applyFill="1" applyBorder="1" applyAlignment="1">
      <alignment horizontal="right" vertical="center" indent="1"/>
      <protection/>
    </xf>
    <xf numFmtId="165" fontId="79" fillId="0" borderId="0" xfId="276" applyNumberFormat="1" applyFont="1" applyFill="1" applyAlignment="1">
      <alignment horizontal="right" vertical="center" indent="1"/>
      <protection/>
    </xf>
    <xf numFmtId="0" fontId="79" fillId="0" borderId="0" xfId="276" applyFont="1" applyFill="1" applyAlignment="1">
      <alignment vertical="center"/>
      <protection/>
    </xf>
    <xf numFmtId="4" fontId="79" fillId="0" borderId="0" xfId="276" applyNumberFormat="1" applyFont="1" applyFill="1" applyAlignment="1">
      <alignment vertical="center"/>
      <protection/>
    </xf>
    <xf numFmtId="49" fontId="2" fillId="0" borderId="14" xfId="276" applyNumberFormat="1" applyFont="1" applyFill="1" applyBorder="1" applyAlignment="1">
      <alignment horizontal="center" vertical="center"/>
      <protection/>
    </xf>
    <xf numFmtId="4" fontId="2" fillId="0" borderId="14" xfId="276" applyNumberFormat="1" applyFont="1" applyFill="1" applyBorder="1" applyAlignment="1">
      <alignment horizontal="right" vertical="center" indent="1"/>
      <protection/>
    </xf>
    <xf numFmtId="0" fontId="0" fillId="0" borderId="16" xfId="20" applyFont="1" applyFill="1" applyBorder="1" applyAlignment="1">
      <alignment vertical="center" wrapText="1"/>
      <protection/>
    </xf>
    <xf numFmtId="164" fontId="35" fillId="0" borderId="0" xfId="276" applyNumberFormat="1" applyFont="1" applyFill="1" applyBorder="1" applyAlignment="1">
      <alignment horizontal="right" vertical="center" indent="1"/>
      <protection/>
    </xf>
    <xf numFmtId="49" fontId="3" fillId="0" borderId="13" xfId="276" applyNumberFormat="1" applyFont="1" applyFill="1" applyBorder="1" applyAlignment="1">
      <alignment horizontal="center" vertical="center"/>
      <protection/>
    </xf>
    <xf numFmtId="0" fontId="3" fillId="0" borderId="14" xfId="276" applyFont="1" applyFill="1" applyBorder="1" applyAlignment="1">
      <alignment vertical="center" wrapText="1"/>
      <protection/>
    </xf>
    <xf numFmtId="49" fontId="3" fillId="0" borderId="14" xfId="276" applyNumberFormat="1" applyFont="1" applyFill="1" applyBorder="1" applyAlignment="1">
      <alignment horizontal="center" vertical="center" shrinkToFit="1"/>
      <protection/>
    </xf>
    <xf numFmtId="0" fontId="0" fillId="0" borderId="21" xfId="20" applyBorder="1" applyAlignment="1">
      <alignment vertical="center" wrapText="1"/>
      <protection/>
    </xf>
    <xf numFmtId="0" fontId="0" fillId="0" borderId="21" xfId="20" applyBorder="1" applyAlignment="1">
      <alignment horizontal="center" vertical="center"/>
      <protection/>
    </xf>
    <xf numFmtId="166" fontId="0" fillId="0" borderId="21" xfId="20" applyNumberFormat="1" applyFill="1" applyBorder="1" applyAlignment="1">
      <alignment horizontal="center" vertical="center"/>
      <protection/>
    </xf>
    <xf numFmtId="49" fontId="3" fillId="0" borderId="43" xfId="20" applyNumberFormat="1" applyFont="1" applyBorder="1" applyAlignment="1">
      <alignment horizontal="center" vertical="center"/>
      <protection/>
    </xf>
    <xf numFmtId="49" fontId="0" fillId="0" borderId="44" xfId="20" applyNumberFormat="1" applyBorder="1" applyAlignment="1">
      <alignment horizontal="center" vertical="center"/>
      <protection/>
    </xf>
    <xf numFmtId="0" fontId="23" fillId="0" borderId="44" xfId="20" applyFont="1" applyBorder="1" applyAlignment="1">
      <alignment vertical="center"/>
      <protection/>
    </xf>
    <xf numFmtId="0" fontId="0" fillId="0" borderId="44" xfId="20" applyBorder="1" applyAlignment="1">
      <alignment vertical="center"/>
      <protection/>
    </xf>
    <xf numFmtId="166" fontId="0" fillId="0" borderId="44" xfId="20" applyNumberFormat="1" applyBorder="1" applyAlignment="1">
      <alignment horizontal="right" vertical="center"/>
      <protection/>
    </xf>
    <xf numFmtId="4" fontId="0" fillId="0" borderId="44" xfId="20" applyNumberFormat="1" applyFont="1" applyBorder="1" applyAlignment="1">
      <alignment horizontal="center" vertical="center"/>
      <protection/>
    </xf>
    <xf numFmtId="4" fontId="23" fillId="26" borderId="23" xfId="20" applyNumberFormat="1" applyFont="1" applyFill="1" applyBorder="1" applyAlignment="1">
      <alignment horizontal="right" vertical="center" indent="1"/>
      <protection/>
    </xf>
    <xf numFmtId="49" fontId="3" fillId="27" borderId="43" xfId="20" applyNumberFormat="1" applyFont="1" applyFill="1" applyBorder="1" applyAlignment="1">
      <alignment horizontal="center" vertical="center"/>
      <protection/>
    </xf>
    <xf numFmtId="49" fontId="0" fillId="27" borderId="44" xfId="20" applyNumberFormat="1" applyFill="1" applyBorder="1" applyAlignment="1">
      <alignment horizontal="center" vertical="center"/>
      <protection/>
    </xf>
    <xf numFmtId="0" fontId="0" fillId="27" borderId="44" xfId="20" applyFill="1" applyBorder="1" applyAlignment="1">
      <alignment vertical="center"/>
      <protection/>
    </xf>
    <xf numFmtId="166" fontId="0" fillId="27" borderId="44" xfId="20" applyNumberFormat="1" applyFill="1" applyBorder="1" applyAlignment="1">
      <alignment horizontal="right" vertical="center"/>
      <protection/>
    </xf>
    <xf numFmtId="49" fontId="3" fillId="0" borderId="17" xfId="20" applyNumberFormat="1" applyFont="1" applyFill="1" applyBorder="1" applyAlignment="1">
      <alignment horizontal="center" vertical="center"/>
      <protection/>
    </xf>
    <xf numFmtId="49" fontId="0" fillId="0" borderId="18" xfId="20" applyNumberFormat="1" applyFill="1" applyBorder="1" applyAlignment="1">
      <alignment horizontal="center" vertical="center"/>
      <protection/>
    </xf>
    <xf numFmtId="0" fontId="0" fillId="0" borderId="18" xfId="20" applyFill="1" applyBorder="1" applyAlignment="1">
      <alignment vertical="center" wrapText="1"/>
      <protection/>
    </xf>
    <xf numFmtId="0" fontId="0" fillId="0" borderId="18" xfId="20" applyFill="1" applyBorder="1" applyAlignment="1">
      <alignment horizontal="center" vertical="center"/>
      <protection/>
    </xf>
    <xf numFmtId="4" fontId="0" fillId="0" borderId="18" xfId="20" applyNumberFormat="1" applyFont="1" applyFill="1" applyBorder="1" applyAlignment="1">
      <alignment horizontal="right" vertical="center" indent="1"/>
      <protection/>
    </xf>
    <xf numFmtId="4" fontId="0" fillId="0" borderId="19" xfId="20" applyNumberFormat="1" applyFill="1" applyBorder="1" applyAlignment="1">
      <alignment horizontal="right" vertical="center" indent="1"/>
      <protection/>
    </xf>
    <xf numFmtId="164" fontId="24" fillId="0" borderId="0" xfId="20" applyNumberFormat="1" applyFont="1" applyFill="1" applyBorder="1" applyAlignment="1">
      <alignment horizontal="right" vertical="center" indent="1"/>
      <protection/>
    </xf>
    <xf numFmtId="165" fontId="7" fillId="0" borderId="0" xfId="20" applyNumberFormat="1" applyFont="1" applyFill="1" applyAlignment="1">
      <alignment horizontal="right" vertical="center" indent="1"/>
      <protection/>
    </xf>
    <xf numFmtId="0" fontId="0" fillId="0" borderId="0" xfId="20" applyFill="1" applyAlignment="1">
      <alignment vertical="center"/>
      <protection/>
    </xf>
    <xf numFmtId="4" fontId="0" fillId="0" borderId="0" xfId="20" applyNumberFormat="1" applyFill="1" applyAlignment="1">
      <alignment vertical="center"/>
      <protection/>
    </xf>
    <xf numFmtId="49" fontId="2" fillId="0" borderId="12" xfId="276" applyNumberFormat="1" applyFont="1" applyFill="1" applyBorder="1" applyAlignment="1">
      <alignment horizontal="center" vertical="center"/>
      <protection/>
    </xf>
    <xf numFmtId="0" fontId="2" fillId="0" borderId="14" xfId="276" applyFont="1" applyFill="1" applyBorder="1" applyAlignment="1">
      <alignment vertical="center" wrapText="1"/>
      <protection/>
    </xf>
    <xf numFmtId="49" fontId="2" fillId="0" borderId="14" xfId="276" applyNumberFormat="1" applyFont="1" applyFill="1" applyBorder="1" applyAlignment="1">
      <alignment horizontal="center" vertical="center" shrinkToFit="1"/>
      <protection/>
    </xf>
    <xf numFmtId="165" fontId="36" fillId="0" borderId="0" xfId="276" applyNumberFormat="1" applyFont="1" applyFill="1" applyAlignment="1">
      <alignment horizontal="right" vertical="center" indent="1"/>
      <protection/>
    </xf>
    <xf numFmtId="0" fontId="28" fillId="0" borderId="0" xfId="276" applyFill="1" applyAlignment="1">
      <alignment vertical="center"/>
      <protection/>
    </xf>
    <xf numFmtId="4" fontId="28" fillId="0" borderId="0" xfId="276" applyNumberFormat="1" applyFill="1" applyAlignment="1">
      <alignment vertical="center"/>
      <protection/>
    </xf>
    <xf numFmtId="0" fontId="78" fillId="0" borderId="14" xfId="276" applyFont="1" applyFill="1" applyBorder="1" applyAlignment="1">
      <alignment vertical="center" wrapText="1"/>
      <protection/>
    </xf>
    <xf numFmtId="49" fontId="78" fillId="0" borderId="14" xfId="276" applyNumberFormat="1" applyFont="1" applyFill="1" applyBorder="1" applyAlignment="1">
      <alignment horizontal="center" vertical="center" shrinkToFit="1"/>
      <protection/>
    </xf>
    <xf numFmtId="0" fontId="29" fillId="0" borderId="14" xfId="276" applyFont="1" applyFill="1" applyBorder="1" applyAlignment="1">
      <alignment vertical="center" wrapText="1"/>
      <protection/>
    </xf>
    <xf numFmtId="165" fontId="35" fillId="0" borderId="0" xfId="276" applyNumberFormat="1" applyFont="1" applyFill="1" applyAlignment="1">
      <alignment horizontal="right" vertical="center" indent="1"/>
      <protection/>
    </xf>
    <xf numFmtId="0" fontId="2" fillId="0" borderId="0" xfId="276" applyFont="1" applyFill="1" applyAlignment="1">
      <alignment vertical="center"/>
      <protection/>
    </xf>
    <xf numFmtId="4" fontId="2" fillId="0" borderId="0" xfId="276" applyNumberFormat="1" applyFont="1" applyFill="1" applyAlignment="1">
      <alignment vertical="center"/>
      <protection/>
    </xf>
    <xf numFmtId="49" fontId="3" fillId="0" borderId="20" xfId="20" applyNumberFormat="1" applyFont="1" applyFill="1" applyBorder="1" applyAlignment="1">
      <alignment horizontal="center" vertical="center"/>
      <protection/>
    </xf>
    <xf numFmtId="49" fontId="0" fillId="0" borderId="21" xfId="20" applyNumberFormat="1" applyFill="1" applyBorder="1" applyAlignment="1">
      <alignment horizontal="center" vertical="center"/>
      <protection/>
    </xf>
    <xf numFmtId="0" fontId="0" fillId="0" borderId="21" xfId="20" applyFill="1" applyBorder="1" applyAlignment="1">
      <alignment vertical="center" wrapText="1"/>
      <protection/>
    </xf>
    <xf numFmtId="0" fontId="0" fillId="0" borderId="21" xfId="20" applyFill="1" applyBorder="1" applyAlignment="1">
      <alignment horizontal="center" vertical="center"/>
      <protection/>
    </xf>
    <xf numFmtId="4" fontId="0" fillId="0" borderId="21" xfId="20" applyNumberFormat="1" applyFont="1" applyFill="1" applyBorder="1" applyAlignment="1">
      <alignment horizontal="right" vertical="center" indent="1"/>
      <protection/>
    </xf>
    <xf numFmtId="4" fontId="0" fillId="0" borderId="22" xfId="20" applyNumberFormat="1" applyFill="1" applyBorder="1" applyAlignment="1">
      <alignment horizontal="right" vertical="center" indent="1"/>
      <protection/>
    </xf>
    <xf numFmtId="0" fontId="42" fillId="0" borderId="44" xfId="20" applyFont="1" applyBorder="1" applyAlignment="1">
      <alignment horizontal="center" vertical="center"/>
      <protection/>
    </xf>
    <xf numFmtId="166" fontId="42" fillId="0" borderId="44" xfId="20" applyNumberFormat="1" applyFont="1" applyBorder="1" applyAlignment="1">
      <alignment horizontal="center" vertical="center"/>
      <protection/>
    </xf>
    <xf numFmtId="4" fontId="0" fillId="0" borderId="44" xfId="20" applyNumberFormat="1" applyFont="1" applyBorder="1" applyAlignment="1">
      <alignment horizontal="right" vertical="center" indent="1"/>
      <protection/>
    </xf>
    <xf numFmtId="0" fontId="0" fillId="27" borderId="44" xfId="20" applyFill="1" applyBorder="1" applyAlignment="1">
      <alignment horizontal="center" vertical="center"/>
      <protection/>
    </xf>
    <xf numFmtId="166" fontId="0" fillId="27" borderId="44" xfId="20" applyNumberFormat="1" applyFill="1" applyBorder="1" applyAlignment="1">
      <alignment horizontal="center" vertical="center"/>
      <protection/>
    </xf>
    <xf numFmtId="4" fontId="0" fillId="27" borderId="44" xfId="20" applyNumberFormat="1" applyFont="1" applyFill="1" applyBorder="1" applyAlignment="1">
      <alignment horizontal="right" vertical="center" indent="1"/>
      <protection/>
    </xf>
    <xf numFmtId="4" fontId="0" fillId="0" borderId="44" xfId="20" applyNumberFormat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 indent="1"/>
      <protection/>
    </xf>
    <xf numFmtId="164" fontId="27" fillId="0" borderId="0" xfId="20" applyNumberFormat="1" applyFont="1" applyFill="1" applyBorder="1" applyAlignment="1">
      <alignment horizontal="right" vertical="center" indent="1"/>
      <protection/>
    </xf>
    <xf numFmtId="4" fontId="0" fillId="27" borderId="44" xfId="20" applyNumberFormat="1" applyFill="1" applyBorder="1" applyAlignment="1">
      <alignment horizontal="right" vertical="center"/>
      <protection/>
    </xf>
    <xf numFmtId="0" fontId="0" fillId="0" borderId="0" xfId="20" applyFill="1">
      <alignment/>
      <protection/>
    </xf>
    <xf numFmtId="4" fontId="0" fillId="0" borderId="18" xfId="20" applyNumberFormat="1" applyBorder="1" applyAlignment="1">
      <alignment horizontal="right" vertical="center"/>
      <protection/>
    </xf>
    <xf numFmtId="165" fontId="78" fillId="0" borderId="0" xfId="276" applyNumberFormat="1" applyFont="1" applyFill="1" applyAlignment="1">
      <alignment horizontal="right" vertical="center" indent="1"/>
      <protection/>
    </xf>
    <xf numFmtId="0" fontId="78" fillId="0" borderId="0" xfId="276" applyFont="1" applyFill="1" applyAlignment="1">
      <alignment vertical="center"/>
      <protection/>
    </xf>
    <xf numFmtId="4" fontId="78" fillId="0" borderId="0" xfId="276" applyNumberFormat="1" applyFont="1" applyFill="1" applyAlignment="1">
      <alignment vertical="center"/>
      <protection/>
    </xf>
    <xf numFmtId="4" fontId="0" fillId="0" borderId="21" xfId="20" applyNumberFormat="1" applyFill="1" applyBorder="1" applyAlignment="1">
      <alignment horizontal="right" vertical="center"/>
      <protection/>
    </xf>
    <xf numFmtId="4" fontId="0" fillId="0" borderId="21" xfId="20" applyNumberFormat="1" applyFont="1" applyFill="1" applyBorder="1" applyAlignment="1">
      <alignment horizontal="center" vertical="center"/>
      <protection/>
    </xf>
    <xf numFmtId="49" fontId="44" fillId="0" borderId="43" xfId="20" applyNumberFormat="1" applyFont="1" applyBorder="1" applyAlignment="1">
      <alignment horizontal="center" vertical="center"/>
      <protection/>
    </xf>
    <xf numFmtId="49" fontId="42" fillId="0" borderId="44" xfId="20" applyNumberFormat="1" applyFont="1" applyBorder="1" applyAlignment="1">
      <alignment horizontal="center" vertical="center"/>
      <protection/>
    </xf>
    <xf numFmtId="0" fontId="42" fillId="0" borderId="44" xfId="20" applyFont="1" applyBorder="1" applyAlignment="1">
      <alignment vertical="center"/>
      <protection/>
    </xf>
    <xf numFmtId="4" fontId="42" fillId="0" borderId="44" xfId="20" applyNumberFormat="1" applyFont="1" applyBorder="1" applyAlignment="1">
      <alignment horizontal="right" vertical="center"/>
      <protection/>
    </xf>
    <xf numFmtId="0" fontId="42" fillId="0" borderId="0" xfId="20" applyFont="1" applyAlignment="1">
      <alignment vertical="center"/>
      <protection/>
    </xf>
    <xf numFmtId="4" fontId="23" fillId="0" borderId="0" xfId="20" applyNumberFormat="1" applyFont="1" applyAlignment="1">
      <alignment vertical="center"/>
      <protection/>
    </xf>
    <xf numFmtId="49" fontId="0" fillId="0" borderId="18" xfId="20" applyNumberFormat="1" applyBorder="1" applyAlignment="1">
      <alignment horizontal="center" vertical="center"/>
      <protection/>
    </xf>
    <xf numFmtId="4" fontId="23" fillId="0" borderId="19" xfId="20" applyNumberFormat="1" applyFont="1" applyFill="1" applyBorder="1" applyAlignment="1">
      <alignment horizontal="right" vertical="center" indent="1"/>
      <protection/>
    </xf>
    <xf numFmtId="49" fontId="3" fillId="0" borderId="12" xfId="276" applyNumberFormat="1" applyFont="1" applyFill="1" applyBorder="1" applyAlignment="1">
      <alignment horizontal="center" vertical="center"/>
      <protection/>
    </xf>
    <xf numFmtId="4" fontId="3" fillId="0" borderId="14" xfId="276" applyNumberFormat="1" applyFont="1" applyFill="1" applyBorder="1" applyAlignment="1">
      <alignment horizontal="right" vertical="center" indent="1"/>
      <protection/>
    </xf>
    <xf numFmtId="49" fontId="18" fillId="0" borderId="17" xfId="20" applyNumberFormat="1" applyFont="1" applyBorder="1" applyAlignment="1">
      <alignment horizontal="center" vertical="center"/>
      <protection/>
    </xf>
    <xf numFmtId="0" fontId="26" fillId="0" borderId="45" xfId="20" applyFont="1" applyBorder="1" applyAlignment="1">
      <alignment horizontal="center" vertical="center"/>
      <protection/>
    </xf>
    <xf numFmtId="0" fontId="26" fillId="0" borderId="18" xfId="20" applyFont="1" applyBorder="1" applyAlignment="1">
      <alignment vertical="center"/>
      <protection/>
    </xf>
    <xf numFmtId="0" fontId="0" fillId="0" borderId="18" xfId="20" applyBorder="1" applyAlignment="1">
      <alignment vertical="center"/>
      <protection/>
    </xf>
    <xf numFmtId="4" fontId="0" fillId="0" borderId="18" xfId="20" applyNumberFormat="1" applyBorder="1" applyAlignment="1">
      <alignment horizontal="right" vertical="center" indent="1"/>
      <protection/>
    </xf>
    <xf numFmtId="0" fontId="3" fillId="0" borderId="14" xfId="20" applyFont="1" applyFill="1" applyBorder="1" applyAlignment="1">
      <alignment vertical="center" wrapText="1"/>
      <protection/>
    </xf>
    <xf numFmtId="0" fontId="3" fillId="0" borderId="14" xfId="20" applyFont="1" applyFill="1" applyBorder="1" applyAlignment="1">
      <alignment horizontal="center" vertical="center" wrapText="1"/>
      <protection/>
    </xf>
    <xf numFmtId="4" fontId="3" fillId="0" borderId="14" xfId="20" applyNumberFormat="1" applyFont="1" applyFill="1" applyBorder="1" applyAlignment="1">
      <alignment horizontal="right" vertical="center" wrapText="1" indent="1"/>
      <protection/>
    </xf>
    <xf numFmtId="164" fontId="16" fillId="0" borderId="0" xfId="20" applyNumberFormat="1" applyFont="1" applyFill="1" applyAlignment="1">
      <alignment horizontal="right" vertical="center" indent="1"/>
      <protection/>
    </xf>
    <xf numFmtId="4" fontId="41" fillId="0" borderId="15" xfId="21" applyNumberFormat="1" applyFont="1" applyFill="1" applyBorder="1" applyAlignment="1">
      <alignment horizontal="right" vertical="center" indent="1"/>
      <protection/>
    </xf>
    <xf numFmtId="165" fontId="80" fillId="0" borderId="0" xfId="20" applyNumberFormat="1" applyFont="1" applyFill="1" applyAlignment="1">
      <alignment horizontal="right" vertical="center" indent="1"/>
      <protection/>
    </xf>
    <xf numFmtId="0" fontId="80" fillId="0" borderId="0" xfId="20" applyFont="1" applyFill="1" applyAlignment="1">
      <alignment vertical="center"/>
      <protection/>
    </xf>
    <xf numFmtId="4" fontId="80" fillId="0" borderId="0" xfId="20" applyNumberFormat="1" applyFont="1" applyFill="1" applyAlignment="1">
      <alignment vertical="center"/>
      <protection/>
    </xf>
    <xf numFmtId="0" fontId="0" fillId="0" borderId="42" xfId="20" applyFill="1" applyBorder="1" applyAlignment="1">
      <alignment horizontal="center" vertical="center"/>
      <protection/>
    </xf>
    <xf numFmtId="4" fontId="0" fillId="0" borderId="21" xfId="20" applyNumberFormat="1" applyFill="1" applyBorder="1" applyAlignment="1">
      <alignment horizontal="right" vertical="center" indent="1"/>
      <protection/>
    </xf>
    <xf numFmtId="49" fontId="3" fillId="0" borderId="43" xfId="20" applyNumberFormat="1" applyFont="1" applyBorder="1" applyAlignment="1">
      <alignment vertical="center"/>
      <protection/>
    </xf>
    <xf numFmtId="0" fontId="0" fillId="0" borderId="44" xfId="20" applyBorder="1" applyAlignment="1">
      <alignment horizontal="center" vertical="center"/>
      <protection/>
    </xf>
    <xf numFmtId="4" fontId="0" fillId="0" borderId="44" xfId="20" applyNumberFormat="1" applyBorder="1" applyAlignment="1">
      <alignment horizontal="right" vertical="center" indent="1"/>
      <protection/>
    </xf>
    <xf numFmtId="49" fontId="3" fillId="27" borderId="43" xfId="20" applyNumberFormat="1" applyFont="1" applyFill="1" applyBorder="1" applyAlignment="1">
      <alignment vertical="center"/>
      <protection/>
    </xf>
    <xf numFmtId="4" fontId="0" fillId="27" borderId="44" xfId="20" applyNumberFormat="1" applyFill="1" applyBorder="1" applyAlignment="1">
      <alignment horizontal="right" vertical="center" indent="1"/>
      <protection/>
    </xf>
    <xf numFmtId="0" fontId="0" fillId="0" borderId="42" xfId="20" applyBorder="1" applyAlignment="1">
      <alignment horizontal="center" vertical="center"/>
      <protection/>
    </xf>
    <xf numFmtId="4" fontId="0" fillId="0" borderId="21" xfId="20" applyNumberFormat="1" applyBorder="1" applyAlignment="1">
      <alignment horizontal="right" vertical="center" indent="1"/>
      <protection/>
    </xf>
    <xf numFmtId="49" fontId="41" fillId="0" borderId="13" xfId="24" applyNumberFormat="1" applyFont="1" applyFill="1" applyBorder="1" applyAlignment="1">
      <alignment horizontal="center" vertical="center"/>
      <protection/>
    </xf>
    <xf numFmtId="164" fontId="41" fillId="0" borderId="0" xfId="24" applyNumberFormat="1" applyFont="1" applyFill="1" applyBorder="1" applyAlignment="1">
      <alignment horizontal="right" vertical="center" indent="1"/>
      <protection/>
    </xf>
    <xf numFmtId="4" fontId="3" fillId="0" borderId="14" xfId="20" applyNumberFormat="1" applyFont="1" applyFill="1" applyBorder="1" applyAlignment="1">
      <alignment horizontal="right" vertical="center" indent="1"/>
      <protection/>
    </xf>
    <xf numFmtId="4" fontId="0" fillId="0" borderId="46" xfId="20" applyNumberFormat="1" applyBorder="1" applyAlignment="1">
      <alignment horizontal="right" vertical="center" indent="1"/>
      <protection/>
    </xf>
    <xf numFmtId="4" fontId="0" fillId="0" borderId="46" xfId="20" applyNumberFormat="1" applyFont="1" applyBorder="1" applyAlignment="1">
      <alignment horizontal="center" vertical="center"/>
      <protection/>
    </xf>
    <xf numFmtId="4" fontId="0" fillId="0" borderId="47" xfId="20" applyNumberFormat="1" applyBorder="1" applyAlignment="1">
      <alignment horizontal="right" vertical="center" indent="1"/>
      <protection/>
    </xf>
    <xf numFmtId="0" fontId="3" fillId="0" borderId="36" xfId="20" applyFont="1" applyFill="1" applyBorder="1" applyAlignment="1">
      <alignment horizontal="center" vertical="center"/>
      <protection/>
    </xf>
    <xf numFmtId="0" fontId="3" fillId="0" borderId="48" xfId="20" applyFont="1" applyFill="1" applyBorder="1" applyAlignment="1">
      <alignment vertical="center" wrapText="1"/>
      <protection/>
    </xf>
    <xf numFmtId="49" fontId="2" fillId="0" borderId="48" xfId="276" applyNumberFormat="1" applyFont="1" applyFill="1" applyBorder="1" applyAlignment="1">
      <alignment horizontal="center" vertical="center" shrinkToFit="1"/>
      <protection/>
    </xf>
    <xf numFmtId="4" fontId="3" fillId="0" borderId="49" xfId="20" applyNumberFormat="1" applyFont="1" applyFill="1" applyBorder="1" applyAlignment="1">
      <alignment horizontal="right" vertical="center" indent="1"/>
      <protection/>
    </xf>
    <xf numFmtId="4" fontId="2" fillId="0" borderId="49" xfId="276" applyNumberFormat="1" applyFont="1" applyFill="1" applyBorder="1" applyAlignment="1">
      <alignment horizontal="right" vertical="center" indent="1"/>
      <protection/>
    </xf>
    <xf numFmtId="0" fontId="41" fillId="0" borderId="36" xfId="20" applyFont="1" applyFill="1" applyBorder="1" applyAlignment="1">
      <alignment horizontal="center" vertical="center"/>
      <protection/>
    </xf>
    <xf numFmtId="0" fontId="41" fillId="0" borderId="48" xfId="20" applyFont="1" applyFill="1" applyBorder="1" applyAlignment="1">
      <alignment vertical="center" wrapText="1"/>
      <protection/>
    </xf>
    <xf numFmtId="4" fontId="41" fillId="0" borderId="49" xfId="20" applyNumberFormat="1" applyFont="1" applyFill="1" applyBorder="1" applyAlignment="1">
      <alignment horizontal="right" vertical="center" indent="1"/>
      <protection/>
    </xf>
    <xf numFmtId="49" fontId="78" fillId="0" borderId="48" xfId="276" applyNumberFormat="1" applyFont="1" applyFill="1" applyBorder="1" applyAlignment="1">
      <alignment horizontal="center" vertical="center" shrinkToFit="1"/>
      <protection/>
    </xf>
    <xf numFmtId="4" fontId="78" fillId="0" borderId="49" xfId="276" applyNumberFormat="1" applyFont="1" applyFill="1" applyBorder="1" applyAlignment="1">
      <alignment horizontal="right" vertical="center" indent="1"/>
      <protection/>
    </xf>
    <xf numFmtId="164" fontId="80" fillId="0" borderId="0" xfId="20" applyNumberFormat="1" applyFont="1" applyFill="1" applyBorder="1" applyAlignment="1">
      <alignment horizontal="right" vertical="center" indent="1"/>
      <protection/>
    </xf>
    <xf numFmtId="4" fontId="0" fillId="0" borderId="15" xfId="20" applyNumberFormat="1" applyBorder="1" applyAlignment="1">
      <alignment horizontal="right" vertical="center" indent="1"/>
      <protection/>
    </xf>
    <xf numFmtId="49" fontId="3" fillId="0" borderId="16" xfId="20" applyNumberFormat="1" applyFont="1" applyFill="1" applyBorder="1" applyAlignment="1">
      <alignment vertical="center" wrapText="1"/>
      <protection/>
    </xf>
    <xf numFmtId="49" fontId="3" fillId="0" borderId="36" xfId="20" applyNumberFormat="1" applyFont="1" applyFill="1" applyBorder="1" applyAlignment="1">
      <alignment horizontal="center" vertical="center"/>
      <protection/>
    </xf>
    <xf numFmtId="169" fontId="81" fillId="0" borderId="0" xfId="20" applyNumberFormat="1" applyFont="1" applyFill="1" applyAlignment="1">
      <alignment vertical="center"/>
      <protection/>
    </xf>
    <xf numFmtId="169" fontId="3" fillId="0" borderId="0" xfId="20" applyNumberFormat="1" applyFont="1" applyFill="1" applyAlignment="1">
      <alignment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49" fontId="47" fillId="23" borderId="44" xfId="20" applyNumberFormat="1" applyFont="1" applyFill="1" applyBorder="1" applyAlignment="1">
      <alignment horizontal="center" vertical="center"/>
      <protection/>
    </xf>
    <xf numFmtId="0" fontId="47" fillId="23" borderId="44" xfId="20" applyFont="1" applyFill="1" applyBorder="1" applyAlignment="1">
      <alignment vertical="center"/>
      <protection/>
    </xf>
    <xf numFmtId="166" fontId="47" fillId="23" borderId="44" xfId="20" applyNumberFormat="1" applyFont="1" applyFill="1" applyBorder="1" applyAlignment="1">
      <alignment horizontal="right" vertical="center" indent="1"/>
      <protection/>
    </xf>
    <xf numFmtId="4" fontId="48" fillId="23" borderId="44" xfId="20" applyNumberFormat="1" applyFont="1" applyFill="1" applyBorder="1" applyAlignment="1">
      <alignment horizontal="center" vertical="center"/>
      <protection/>
    </xf>
    <xf numFmtId="4" fontId="47" fillId="23" borderId="23" xfId="20" applyNumberFormat="1" applyFont="1" applyFill="1" applyBorder="1" applyAlignment="1">
      <alignment horizontal="right" vertical="center" indent="1"/>
      <protection/>
    </xf>
    <xf numFmtId="164" fontId="49" fillId="0" borderId="0" xfId="20" applyNumberFormat="1" applyFont="1" applyBorder="1" applyAlignment="1">
      <alignment horizontal="right" vertical="center" indent="1"/>
      <protection/>
    </xf>
    <xf numFmtId="165" fontId="49" fillId="0" borderId="0" xfId="20" applyNumberFormat="1" applyFont="1" applyAlignment="1">
      <alignment horizontal="right" vertical="center" indent="1"/>
      <protection/>
    </xf>
    <xf numFmtId="0" fontId="48" fillId="0" borderId="0" xfId="20" applyFont="1" applyAlignment="1">
      <alignment vertical="center"/>
      <protection/>
    </xf>
    <xf numFmtId="4" fontId="48" fillId="0" borderId="0" xfId="20" applyNumberFormat="1" applyFont="1" applyAlignment="1">
      <alignment vertical="center"/>
      <protection/>
    </xf>
    <xf numFmtId="49" fontId="3" fillId="0" borderId="0" xfId="20" applyNumberFormat="1" applyFont="1" applyAlignment="1">
      <alignment horizontal="center"/>
      <protection/>
    </xf>
    <xf numFmtId="49" fontId="0" fillId="0" borderId="0" xfId="20" applyNumberFormat="1" applyAlignment="1">
      <alignment horizontal="center"/>
      <protection/>
    </xf>
    <xf numFmtId="166" fontId="0" fillId="0" borderId="0" xfId="20" applyNumberFormat="1" applyAlignment="1">
      <alignment horizontal="right" vertical="center" indent="1"/>
      <protection/>
    </xf>
    <xf numFmtId="4" fontId="0" fillId="0" borderId="0" xfId="20" applyNumberFormat="1" applyFont="1" applyAlignment="1">
      <alignment horizontal="center" vertical="center"/>
      <protection/>
    </xf>
    <xf numFmtId="166" fontId="0" fillId="0" borderId="0" xfId="20" applyNumberFormat="1">
      <alignment/>
      <protection/>
    </xf>
    <xf numFmtId="4" fontId="0" fillId="0" borderId="37" xfId="20" applyNumberFormat="1" applyBorder="1" applyAlignment="1">
      <alignment horizontal="right" vertical="center" indent="1"/>
      <protection/>
    </xf>
    <xf numFmtId="49" fontId="3" fillId="0" borderId="35" xfId="20" applyNumberFormat="1" applyFont="1" applyFill="1" applyBorder="1" applyAlignment="1">
      <alignment horizontal="center" vertical="center"/>
      <protection/>
    </xf>
    <xf numFmtId="49" fontId="83" fillId="0" borderId="12" xfId="274" applyNumberFormat="1" applyFont="1" applyFill="1" applyBorder="1" applyAlignment="1">
      <alignment horizontal="center" vertical="center"/>
      <protection/>
    </xf>
    <xf numFmtId="49" fontId="3" fillId="0" borderId="13" xfId="274" applyNumberFormat="1" applyFont="1" applyFill="1" applyBorder="1" applyAlignment="1">
      <alignment horizontal="center" vertical="center"/>
      <protection/>
    </xf>
    <xf numFmtId="0" fontId="3" fillId="0" borderId="14" xfId="27" applyFont="1" applyFill="1" applyBorder="1" applyAlignment="1" applyProtection="1">
      <alignment horizontal="left" vertical="center" wrapText="1"/>
      <protection/>
    </xf>
    <xf numFmtId="49" fontId="2" fillId="0" borderId="14" xfId="275" applyNumberFormat="1" applyFont="1" applyFill="1" applyBorder="1" applyAlignment="1">
      <alignment horizontal="center" vertical="center"/>
      <protection/>
    </xf>
    <xf numFmtId="4" fontId="3" fillId="0" borderId="14" xfId="274" applyNumberFormat="1" applyFont="1" applyFill="1" applyBorder="1" applyAlignment="1">
      <alignment horizontal="right" vertical="center" indent="1"/>
      <protection/>
    </xf>
    <xf numFmtId="170" fontId="84" fillId="0" borderId="0" xfId="274" applyNumberFormat="1" applyFont="1" applyFill="1" applyBorder="1" applyAlignment="1">
      <alignment vertical="center"/>
      <protection/>
    </xf>
    <xf numFmtId="170" fontId="16" fillId="0" borderId="0" xfId="274" applyNumberFormat="1" applyFont="1" applyFill="1" applyAlignment="1">
      <alignment vertical="center"/>
      <protection/>
    </xf>
    <xf numFmtId="170" fontId="43" fillId="0" borderId="0" xfId="274" applyNumberFormat="1" applyFont="1" applyFill="1" applyAlignment="1">
      <alignment vertical="center"/>
      <protection/>
    </xf>
    <xf numFmtId="0" fontId="43" fillId="0" borderId="0" xfId="274" applyFont="1" applyFill="1" applyAlignment="1">
      <alignment vertical="center"/>
      <protection/>
    </xf>
    <xf numFmtId="0" fontId="3" fillId="0" borderId="0" xfId="274" applyFont="1" applyFill="1" applyAlignment="1">
      <alignment vertical="center"/>
      <protection/>
    </xf>
    <xf numFmtId="4" fontId="3" fillId="0" borderId="37" xfId="20" applyNumberFormat="1" applyFont="1" applyBorder="1" applyAlignment="1">
      <alignment horizontal="right" vertical="center" indent="1"/>
      <protection/>
    </xf>
    <xf numFmtId="49" fontId="30" fillId="0" borderId="13" xfId="276" applyNumberFormat="1" applyFont="1" applyFill="1" applyBorder="1" applyAlignment="1">
      <alignment horizontal="center" vertical="center"/>
      <protection/>
    </xf>
    <xf numFmtId="0" fontId="30" fillId="0" borderId="14" xfId="276" applyFont="1" applyFill="1" applyBorder="1" applyAlignment="1">
      <alignment vertical="center" wrapText="1"/>
      <protection/>
    </xf>
    <xf numFmtId="4" fontId="30" fillId="0" borderId="14" xfId="276" applyNumberFormat="1" applyFont="1" applyFill="1" applyBorder="1" applyAlignment="1">
      <alignment horizontal="center" vertical="center"/>
      <protection/>
    </xf>
    <xf numFmtId="4" fontId="30" fillId="0" borderId="14" xfId="276" applyNumberFormat="1" applyFont="1" applyFill="1" applyBorder="1" applyAlignment="1">
      <alignment horizontal="right" vertical="center" indent="1"/>
      <protection/>
    </xf>
    <xf numFmtId="164" fontId="85" fillId="0" borderId="0" xfId="276" applyNumberFormat="1" applyFont="1" applyFill="1" applyBorder="1" applyAlignment="1">
      <alignment horizontal="right" vertical="center" indent="1"/>
      <protection/>
    </xf>
    <xf numFmtId="0" fontId="30" fillId="0" borderId="0" xfId="276" applyFont="1" applyFill="1" applyBorder="1" applyAlignment="1">
      <alignment vertical="center"/>
      <protection/>
    </xf>
    <xf numFmtId="0" fontId="30" fillId="0" borderId="0" xfId="276" applyFont="1" applyFill="1" applyAlignment="1">
      <alignment vertical="center"/>
      <protection/>
    </xf>
    <xf numFmtId="0" fontId="3" fillId="0" borderId="16" xfId="20" applyFont="1" applyFill="1" applyBorder="1" applyAlignment="1">
      <alignment horizontal="center" vertical="center"/>
      <protection/>
    </xf>
    <xf numFmtId="164" fontId="2" fillId="0" borderId="0" xfId="276" applyNumberFormat="1" applyFont="1" applyFill="1" applyBorder="1" applyAlignment="1">
      <alignment horizontal="right" vertical="center" indent="1"/>
      <protection/>
    </xf>
    <xf numFmtId="165" fontId="2" fillId="0" borderId="0" xfId="276" applyNumberFormat="1" applyFont="1" applyFill="1" applyAlignment="1">
      <alignment horizontal="right" vertical="center" indent="1"/>
      <protection/>
    </xf>
    <xf numFmtId="49" fontId="18" fillId="0" borderId="12" xfId="276" applyNumberFormat="1" applyFont="1" applyFill="1" applyBorder="1" applyAlignment="1">
      <alignment horizontal="center" vertical="center"/>
      <protection/>
    </xf>
    <xf numFmtId="49" fontId="3" fillId="0" borderId="36" xfId="24" applyNumberFormat="1" applyFont="1" applyFill="1" applyBorder="1" applyAlignment="1">
      <alignment horizontal="center" vertical="center"/>
      <protection/>
    </xf>
    <xf numFmtId="49" fontId="2" fillId="0" borderId="24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indent="1"/>
    </xf>
    <xf numFmtId="49" fontId="2" fillId="0" borderId="2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 wrapText="1"/>
    </xf>
    <xf numFmtId="4" fontId="0" fillId="0" borderId="0" xfId="0" applyNumberFormat="1" applyFill="1"/>
    <xf numFmtId="49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 indent="1"/>
    </xf>
    <xf numFmtId="164" fontId="12" fillId="0" borderId="0" xfId="0" applyNumberFormat="1" applyFont="1" applyFill="1" applyBorder="1" applyAlignment="1">
      <alignment horizontal="left" vertical="center" indent="1"/>
    </xf>
    <xf numFmtId="165" fontId="13" fillId="0" borderId="0" xfId="0" applyNumberFormat="1" applyFont="1" applyFill="1" applyAlignment="1">
      <alignment horizontal="right" vertical="center" indent="1"/>
    </xf>
    <xf numFmtId="0" fontId="14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0" fillId="0" borderId="0" xfId="20" applyNumberFormat="1" applyFill="1" applyBorder="1" applyAlignment="1">
      <alignment/>
      <protection/>
    </xf>
    <xf numFmtId="4" fontId="0" fillId="0" borderId="0" xfId="20" applyNumberFormat="1" applyFill="1">
      <alignment/>
      <protection/>
    </xf>
    <xf numFmtId="49" fontId="0" fillId="0" borderId="25" xfId="20" applyNumberFormat="1" applyFont="1" applyBorder="1" applyAlignment="1">
      <alignment vertical="center" wrapText="1"/>
      <protection/>
    </xf>
    <xf numFmtId="164" fontId="89" fillId="0" borderId="0" xfId="20" applyNumberFormat="1" applyFont="1" applyBorder="1" applyAlignment="1">
      <alignment vertical="center"/>
      <protection/>
    </xf>
    <xf numFmtId="164" fontId="90" fillId="0" borderId="0" xfId="20" applyNumberFormat="1" applyFont="1" applyBorder="1" applyAlignment="1">
      <alignment vertical="center"/>
      <protection/>
    </xf>
    <xf numFmtId="4" fontId="90" fillId="0" borderId="0" xfId="20" applyNumberFormat="1" applyFont="1" applyBorder="1" applyAlignment="1">
      <alignment vertical="center"/>
      <protection/>
    </xf>
    <xf numFmtId="164" fontId="87" fillId="0" borderId="0" xfId="20" applyNumberFormat="1" applyFont="1" applyBorder="1" applyAlignment="1">
      <alignment vertical="center"/>
      <protection/>
    </xf>
    <xf numFmtId="164" fontId="43" fillId="0" borderId="0" xfId="20" applyNumberFormat="1" applyFont="1" applyBorder="1" applyAlignment="1">
      <alignment vertical="center"/>
      <protection/>
    </xf>
    <xf numFmtId="4" fontId="43" fillId="0" borderId="0" xfId="20" applyNumberFormat="1" applyFont="1" applyBorder="1" applyAlignment="1">
      <alignment vertical="center"/>
      <protection/>
    </xf>
    <xf numFmtId="0" fontId="45" fillId="0" borderId="0" xfId="20" applyFont="1" applyBorder="1" applyAlignment="1">
      <alignment vertical="center"/>
      <protection/>
    </xf>
    <xf numFmtId="0" fontId="45" fillId="0" borderId="0" xfId="20" applyFont="1" applyAlignment="1">
      <alignment vertical="center"/>
      <protection/>
    </xf>
    <xf numFmtId="164" fontId="89" fillId="0" borderId="0" xfId="20" applyNumberFormat="1" applyFont="1" applyBorder="1" applyAlignment="1">
      <alignment vertical="top"/>
      <protection/>
    </xf>
    <xf numFmtId="164" fontId="90" fillId="0" borderId="0" xfId="20" applyNumberFormat="1" applyFont="1" applyBorder="1" applyAlignment="1">
      <alignment vertical="top"/>
      <protection/>
    </xf>
    <xf numFmtId="4" fontId="90" fillId="0" borderId="0" xfId="20" applyNumberFormat="1" applyFont="1" applyBorder="1" applyAlignment="1">
      <alignment vertical="top"/>
      <protection/>
    </xf>
    <xf numFmtId="164" fontId="87" fillId="0" borderId="0" xfId="20" applyNumberFormat="1" applyFont="1" applyBorder="1" applyAlignment="1">
      <alignment vertical="top"/>
      <protection/>
    </xf>
    <xf numFmtId="164" fontId="43" fillId="0" borderId="0" xfId="20" applyNumberFormat="1" applyFont="1" applyBorder="1">
      <alignment/>
      <protection/>
    </xf>
    <xf numFmtId="4" fontId="43" fillId="0" borderId="0" xfId="20" applyNumberFormat="1" applyFont="1" applyBorder="1">
      <alignment/>
      <protection/>
    </xf>
    <xf numFmtId="0" fontId="45" fillId="0" borderId="0" xfId="20" applyFont="1" applyBorder="1">
      <alignment/>
      <protection/>
    </xf>
    <xf numFmtId="0" fontId="45" fillId="0" borderId="0" xfId="20" applyFont="1">
      <alignment/>
      <protection/>
    </xf>
    <xf numFmtId="0" fontId="88" fillId="0" borderId="0" xfId="20" applyFont="1">
      <alignment/>
      <protection/>
    </xf>
    <xf numFmtId="0" fontId="91" fillId="0" borderId="0" xfId="20" applyFont="1">
      <alignment/>
      <protection/>
    </xf>
    <xf numFmtId="164" fontId="92" fillId="0" borderId="0" xfId="20" applyNumberFormat="1" applyFont="1" applyBorder="1" applyAlignment="1">
      <alignment vertical="center"/>
      <protection/>
    </xf>
    <xf numFmtId="4" fontId="92" fillId="0" borderId="0" xfId="20" applyNumberFormat="1" applyFont="1" applyBorder="1" applyAlignment="1">
      <alignment vertical="center"/>
      <protection/>
    </xf>
    <xf numFmtId="164" fontId="93" fillId="0" borderId="0" xfId="20" applyNumberFormat="1" applyFont="1" applyBorder="1" applyAlignment="1">
      <alignment vertical="center"/>
      <protection/>
    </xf>
    <xf numFmtId="0" fontId="94" fillId="0" borderId="0" xfId="20" applyFont="1" applyBorder="1" applyAlignment="1">
      <alignment vertical="center"/>
      <protection/>
    </xf>
    <xf numFmtId="0" fontId="94" fillId="0" borderId="0" xfId="20" applyFont="1" applyAlignment="1">
      <alignment vertical="center"/>
      <protection/>
    </xf>
    <xf numFmtId="49" fontId="48" fillId="0" borderId="27" xfId="20" applyNumberFormat="1" applyFont="1" applyBorder="1" applyAlignment="1">
      <alignment horizontal="center"/>
      <protection/>
    </xf>
    <xf numFmtId="0" fontId="15" fillId="0" borderId="0" xfId="20" applyFont="1" applyFill="1" applyBorder="1" applyAlignment="1">
      <alignment vertical="center" wrapText="1"/>
      <protection/>
    </xf>
    <xf numFmtId="0" fontId="17" fillId="0" borderId="29" xfId="20" applyFont="1" applyFill="1" applyBorder="1" applyAlignment="1">
      <alignment vertical="center" wrapText="1"/>
      <protection/>
    </xf>
    <xf numFmtId="0" fontId="17" fillId="0" borderId="30" xfId="20" applyFont="1" applyFill="1" applyBorder="1" applyAlignment="1">
      <alignment vertical="center" wrapText="1"/>
      <protection/>
    </xf>
    <xf numFmtId="49" fontId="3" fillId="0" borderId="31" xfId="22" applyNumberFormat="1" applyFont="1" applyBorder="1" applyAlignment="1">
      <alignment horizontal="center" vertical="center" wrapText="1"/>
      <protection/>
    </xf>
    <xf numFmtId="4" fontId="3" fillId="0" borderId="33" xfId="22" applyNumberFormat="1" applyFont="1" applyBorder="1" applyAlignment="1">
      <alignment horizontal="center" vertical="center" wrapText="1"/>
      <protection/>
    </xf>
    <xf numFmtId="169" fontId="3" fillId="0" borderId="33" xfId="20" applyNumberFormat="1" applyFont="1" applyBorder="1" applyAlignment="1">
      <alignment horizontal="center" vertical="center" wrapText="1"/>
      <protection/>
    </xf>
    <xf numFmtId="169" fontId="3" fillId="0" borderId="50" xfId="20" applyNumberFormat="1" applyFont="1" applyBorder="1" applyAlignment="1">
      <alignment horizontal="center" vertical="center" wrapText="1"/>
      <protection/>
    </xf>
    <xf numFmtId="0" fontId="81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4" fontId="3" fillId="0" borderId="0" xfId="20" applyNumberFormat="1" applyFont="1" applyBorder="1" applyAlignment="1">
      <alignment horizontal="center" vertical="center" wrapText="1"/>
      <protection/>
    </xf>
    <xf numFmtId="49" fontId="3" fillId="0" borderId="51" xfId="20" applyNumberFormat="1" applyFont="1" applyBorder="1" applyAlignment="1">
      <alignment horizontal="center" vertical="center" wrapText="1"/>
      <protection/>
    </xf>
    <xf numFmtId="0" fontId="0" fillId="0" borderId="52" xfId="20" applyFont="1" applyBorder="1" applyAlignment="1">
      <alignment horizontal="center" vertical="center" wrapText="1"/>
      <protection/>
    </xf>
    <xf numFmtId="0" fontId="3" fillId="0" borderId="53" xfId="20" applyFont="1" applyBorder="1" applyAlignment="1">
      <alignment horizontal="center" vertical="center" wrapText="1"/>
      <protection/>
    </xf>
    <xf numFmtId="4" fontId="3" fillId="0" borderId="54" xfId="20" applyNumberFormat="1" applyFont="1" applyBorder="1" applyAlignment="1">
      <alignment horizontal="center" vertical="center" wrapText="1"/>
      <protection/>
    </xf>
    <xf numFmtId="169" fontId="81" fillId="0" borderId="0" xfId="20" applyNumberFormat="1" applyFont="1" applyBorder="1" applyAlignment="1">
      <alignment horizontal="center" vertical="center" wrapText="1"/>
      <protection/>
    </xf>
    <xf numFmtId="169" fontId="3" fillId="0" borderId="0" xfId="20" applyNumberFormat="1" applyFont="1" applyBorder="1" applyAlignment="1">
      <alignment horizontal="center" vertical="center" wrapText="1"/>
      <protection/>
    </xf>
    <xf numFmtId="49" fontId="17" fillId="29" borderId="55" xfId="20" applyNumberFormat="1" applyFont="1" applyFill="1" applyBorder="1" applyAlignment="1">
      <alignment vertical="center"/>
      <protection/>
    </xf>
    <xf numFmtId="0" fontId="17" fillId="29" borderId="56" xfId="20" applyFont="1" applyFill="1" applyBorder="1" applyAlignment="1">
      <alignment vertical="center" wrapText="1"/>
      <protection/>
    </xf>
    <xf numFmtId="0" fontId="17" fillId="29" borderId="56" xfId="20" applyFont="1" applyFill="1" applyBorder="1" applyAlignment="1">
      <alignment horizontal="center" vertical="center"/>
      <protection/>
    </xf>
    <xf numFmtId="4" fontId="23" fillId="29" borderId="23" xfId="20" applyNumberFormat="1" applyFont="1" applyFill="1" applyBorder="1" applyAlignment="1">
      <alignment horizontal="right" vertical="center" indent="1"/>
      <protection/>
    </xf>
    <xf numFmtId="169" fontId="95" fillId="0" borderId="0" xfId="20" applyNumberFormat="1" applyFont="1" applyAlignment="1">
      <alignment vertical="center"/>
      <protection/>
    </xf>
    <xf numFmtId="169" fontId="17" fillId="0" borderId="0" xfId="20" applyNumberFormat="1" applyFont="1" applyAlignment="1">
      <alignment vertical="center"/>
      <protection/>
    </xf>
    <xf numFmtId="169" fontId="95" fillId="0" borderId="0" xfId="20" applyNumberFormat="1" applyFont="1" applyFill="1" applyAlignment="1">
      <alignment vertical="center"/>
      <protection/>
    </xf>
    <xf numFmtId="169" fontId="17" fillId="0" borderId="0" xfId="20" applyNumberFormat="1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4" fontId="17" fillId="0" borderId="0" xfId="20" applyNumberFormat="1" applyFont="1" applyFill="1" applyAlignment="1">
      <alignment vertical="center"/>
      <protection/>
    </xf>
    <xf numFmtId="3" fontId="98" fillId="29" borderId="56" xfId="20" applyNumberFormat="1" applyFont="1" applyFill="1" applyBorder="1" applyAlignment="1">
      <alignment horizontal="center" vertical="center"/>
      <protection/>
    </xf>
    <xf numFmtId="4" fontId="17" fillId="30" borderId="23" xfId="29" applyNumberFormat="1" applyFont="1" applyFill="1" applyBorder="1" applyAlignment="1">
      <alignment horizontal="right" vertical="center" indent="1"/>
      <protection/>
    </xf>
    <xf numFmtId="3" fontId="99" fillId="0" borderId="0" xfId="20" applyNumberFormat="1" applyFont="1" applyBorder="1" applyAlignment="1">
      <alignment vertical="center"/>
      <protection/>
    </xf>
    <xf numFmtId="49" fontId="0" fillId="0" borderId="35" xfId="20" applyNumberFormat="1" applyBorder="1" applyAlignment="1">
      <alignment vertical="center"/>
      <protection/>
    </xf>
    <xf numFmtId="0" fontId="100" fillId="0" borderId="16" xfId="20" applyFont="1" applyBorder="1" applyAlignment="1">
      <alignment vertical="center" wrapText="1"/>
      <protection/>
    </xf>
    <xf numFmtId="0" fontId="46" fillId="0" borderId="16" xfId="20" applyFont="1" applyBorder="1" applyAlignment="1">
      <alignment horizontal="center" vertical="center"/>
      <protection/>
    </xf>
    <xf numFmtId="169" fontId="88" fillId="0" borderId="0" xfId="20" applyNumberFormat="1" applyFont="1" applyAlignment="1">
      <alignment vertical="center"/>
      <protection/>
    </xf>
    <xf numFmtId="169" fontId="0" fillId="0" borderId="0" xfId="20" applyNumberFormat="1" applyAlignment="1">
      <alignment vertical="center"/>
      <protection/>
    </xf>
    <xf numFmtId="3" fontId="97" fillId="0" borderId="16" xfId="20" applyNumberFormat="1" applyFont="1" applyBorder="1" applyAlignment="1">
      <alignment horizontal="center" vertical="center"/>
      <protection/>
    </xf>
    <xf numFmtId="49" fontId="0" fillId="0" borderId="12" xfId="20" applyNumberFormat="1" applyBorder="1" applyAlignment="1">
      <alignment vertical="center"/>
      <protection/>
    </xf>
    <xf numFmtId="0" fontId="0" fillId="0" borderId="14" xfId="20" applyFont="1" applyBorder="1" applyAlignment="1">
      <alignment vertical="center" wrapText="1"/>
      <protection/>
    </xf>
    <xf numFmtId="10" fontId="46" fillId="0" borderId="14" xfId="20" applyNumberFormat="1" applyFont="1" applyBorder="1" applyAlignment="1">
      <alignment horizontal="center" vertical="center"/>
      <protection/>
    </xf>
    <xf numFmtId="0" fontId="0" fillId="0" borderId="0" xfId="20" applyFont="1" applyAlignment="1">
      <alignment horizontal="justify"/>
      <protection/>
    </xf>
    <xf numFmtId="49" fontId="17" fillId="29" borderId="12" xfId="20" applyNumberFormat="1" applyFont="1" applyFill="1" applyBorder="1" applyAlignment="1">
      <alignment vertical="center"/>
      <protection/>
    </xf>
    <xf numFmtId="0" fontId="17" fillId="29" borderId="14" xfId="20" applyFont="1" applyFill="1" applyBorder="1" applyAlignment="1">
      <alignment vertical="center" wrapText="1"/>
      <protection/>
    </xf>
    <xf numFmtId="3" fontId="98" fillId="29" borderId="14" xfId="20" applyNumberFormat="1" applyFont="1" applyFill="1" applyBorder="1" applyAlignment="1">
      <alignment vertical="center"/>
      <protection/>
    </xf>
    <xf numFmtId="4" fontId="17" fillId="29" borderId="15" xfId="20" applyNumberFormat="1" applyFont="1" applyFill="1" applyBorder="1" applyAlignment="1">
      <alignment horizontal="right" vertical="center" indent="1"/>
      <protection/>
    </xf>
    <xf numFmtId="49" fontId="17" fillId="7" borderId="12" xfId="20" applyNumberFormat="1" applyFont="1" applyFill="1" applyBorder="1" applyAlignment="1">
      <alignment vertical="center"/>
      <protection/>
    </xf>
    <xf numFmtId="0" fontId="17" fillId="7" borderId="14" xfId="20" applyFont="1" applyFill="1" applyBorder="1" applyAlignment="1">
      <alignment vertical="center" wrapText="1"/>
      <protection/>
    </xf>
    <xf numFmtId="3" fontId="98" fillId="7" borderId="14" xfId="20" applyNumberFormat="1" applyFont="1" applyFill="1" applyBorder="1" applyAlignment="1">
      <alignment vertical="center"/>
      <protection/>
    </xf>
    <xf numFmtId="4" fontId="17" fillId="7" borderId="15" xfId="20" applyNumberFormat="1" applyFont="1" applyFill="1" applyBorder="1" applyAlignment="1">
      <alignment horizontal="right" vertical="center" indent="1"/>
      <protection/>
    </xf>
    <xf numFmtId="49" fontId="17" fillId="4" borderId="12" xfId="20" applyNumberFormat="1" applyFont="1" applyFill="1" applyBorder="1" applyAlignment="1">
      <alignment vertical="center"/>
      <protection/>
    </xf>
    <xf numFmtId="0" fontId="17" fillId="4" borderId="14" xfId="20" applyFont="1" applyFill="1" applyBorder="1" applyAlignment="1">
      <alignment vertical="center" wrapText="1"/>
      <protection/>
    </xf>
    <xf numFmtId="3" fontId="98" fillId="4" borderId="14" xfId="20" applyNumberFormat="1" applyFont="1" applyFill="1" applyBorder="1" applyAlignment="1">
      <alignment vertical="center"/>
      <protection/>
    </xf>
    <xf numFmtId="4" fontId="17" fillId="4" borderId="15" xfId="20" applyNumberFormat="1" applyFont="1" applyFill="1" applyBorder="1" applyAlignment="1">
      <alignment horizontal="right" vertical="center" indent="1"/>
      <protection/>
    </xf>
    <xf numFmtId="0" fontId="46" fillId="0" borderId="14" xfId="20" applyFont="1" applyBorder="1" applyAlignment="1">
      <alignment vertical="center"/>
      <protection/>
    </xf>
    <xf numFmtId="169" fontId="0" fillId="0" borderId="0" xfId="20" applyNumberFormat="1" applyFont="1" applyAlignment="1">
      <alignment vertical="center"/>
      <protection/>
    </xf>
    <xf numFmtId="49" fontId="17" fillId="23" borderId="12" xfId="20" applyNumberFormat="1" applyFont="1" applyFill="1" applyBorder="1" applyAlignment="1">
      <alignment vertical="center"/>
      <protection/>
    </xf>
    <xf numFmtId="0" fontId="17" fillId="23" borderId="14" xfId="20" applyFont="1" applyFill="1" applyBorder="1" applyAlignment="1">
      <alignment vertical="center" wrapText="1"/>
      <protection/>
    </xf>
    <xf numFmtId="3" fontId="98" fillId="23" borderId="14" xfId="20" applyNumberFormat="1" applyFont="1" applyFill="1" applyBorder="1" applyAlignment="1">
      <alignment vertical="center"/>
      <protection/>
    </xf>
    <xf numFmtId="4" fontId="17" fillId="23" borderId="15" xfId="20" applyNumberFormat="1" applyFont="1" applyFill="1" applyBorder="1" applyAlignment="1">
      <alignment horizontal="right" vertical="center" indent="1"/>
      <protection/>
    </xf>
    <xf numFmtId="49" fontId="0" fillId="0" borderId="20" xfId="20" applyNumberFormat="1" applyBorder="1" applyAlignment="1">
      <alignment vertical="center"/>
      <protection/>
    </xf>
    <xf numFmtId="0" fontId="0" fillId="29" borderId="43" xfId="20" applyFont="1" applyFill="1" applyBorder="1" applyAlignment="1">
      <alignment vertical="center" wrapText="1"/>
      <protection/>
    </xf>
    <xf numFmtId="0" fontId="0" fillId="29" borderId="44" xfId="20" applyFont="1" applyFill="1" applyBorder="1" applyAlignment="1">
      <alignment vertical="center" wrapText="1"/>
      <protection/>
    </xf>
    <xf numFmtId="4" fontId="0" fillId="29" borderId="23" xfId="20" applyNumberFormat="1" applyFont="1" applyFill="1" applyBorder="1" applyAlignment="1">
      <alignment vertical="center" wrapText="1"/>
      <protection/>
    </xf>
    <xf numFmtId="49" fontId="0" fillId="0" borderId="24" xfId="20" applyNumberFormat="1" applyBorder="1" applyAlignment="1">
      <alignment vertical="center"/>
      <protection/>
    </xf>
    <xf numFmtId="49" fontId="0" fillId="0" borderId="27" xfId="20" applyNumberFormat="1" applyBorder="1" applyAlignment="1">
      <alignment vertical="center"/>
      <protection/>
    </xf>
    <xf numFmtId="0" fontId="86" fillId="0" borderId="0" xfId="20" applyFont="1" applyBorder="1" applyAlignment="1">
      <alignment horizontal="left" wrapText="1"/>
      <protection/>
    </xf>
    <xf numFmtId="0" fontId="101" fillId="0" borderId="0" xfId="20" applyFont="1" applyBorder="1" applyAlignment="1">
      <alignment horizontal="left" wrapText="1"/>
      <protection/>
    </xf>
    <xf numFmtId="0" fontId="101" fillId="0" borderId="11" xfId="20" applyFont="1" applyBorder="1" applyAlignment="1">
      <alignment horizontal="left" wrapText="1"/>
      <protection/>
    </xf>
    <xf numFmtId="0" fontId="0" fillId="0" borderId="0" xfId="20" applyFont="1" applyBorder="1" applyAlignment="1">
      <alignment vertical="center" wrapText="1"/>
      <protection/>
    </xf>
    <xf numFmtId="0" fontId="0" fillId="20" borderId="24" xfId="20" applyFill="1" applyBorder="1" applyAlignment="1">
      <alignment vertical="center"/>
      <protection/>
    </xf>
    <xf numFmtId="4" fontId="0" fillId="20" borderId="26" xfId="20" applyNumberFormat="1" applyFill="1" applyBorder="1" applyAlignment="1">
      <alignment horizontal="right" vertical="center"/>
      <protection/>
    </xf>
    <xf numFmtId="0" fontId="0" fillId="20" borderId="27" xfId="20" applyFill="1" applyBorder="1" applyAlignment="1">
      <alignment vertical="center"/>
      <protection/>
    </xf>
    <xf numFmtId="4" fontId="0" fillId="20" borderId="11" xfId="20" applyNumberFormat="1" applyFill="1" applyBorder="1" applyAlignment="1">
      <alignment horizontal="right" vertical="center"/>
      <protection/>
    </xf>
    <xf numFmtId="49" fontId="0" fillId="0" borderId="28" xfId="20" applyNumberFormat="1" applyBorder="1" applyAlignment="1">
      <alignment vertical="center"/>
      <protection/>
    </xf>
    <xf numFmtId="0" fontId="0" fillId="0" borderId="29" xfId="20" applyFont="1" applyBorder="1" applyAlignment="1">
      <alignment vertical="center" wrapText="1"/>
      <protection/>
    </xf>
    <xf numFmtId="14" fontId="0" fillId="20" borderId="28" xfId="20" applyNumberFormat="1" applyFill="1" applyBorder="1" applyAlignment="1">
      <alignment horizontal="left" vertical="center"/>
      <protection/>
    </xf>
    <xf numFmtId="4" fontId="0" fillId="20" borderId="30" xfId="20" applyNumberFormat="1" applyFill="1" applyBorder="1" applyAlignment="1">
      <alignment horizontal="right" vertical="center"/>
      <protection/>
    </xf>
    <xf numFmtId="49" fontId="0" fillId="0" borderId="0" xfId="20" applyNumberFormat="1">
      <alignment/>
      <protection/>
    </xf>
    <xf numFmtId="0" fontId="101" fillId="0" borderId="0" xfId="20" applyFont="1">
      <alignment/>
      <protection/>
    </xf>
    <xf numFmtId="0" fontId="101" fillId="0" borderId="0" xfId="20" applyFont="1" applyAlignment="1">
      <alignment horizontal="right" vertical="center" indent="1"/>
      <protection/>
    </xf>
    <xf numFmtId="4" fontId="101" fillId="0" borderId="0" xfId="20" applyNumberFormat="1" applyFont="1">
      <alignment/>
      <protection/>
    </xf>
    <xf numFmtId="169" fontId="88" fillId="0" borderId="0" xfId="20" applyNumberFormat="1" applyFont="1">
      <alignment/>
      <protection/>
    </xf>
    <xf numFmtId="169" fontId="0" fillId="0" borderId="0" xfId="20" applyNumberFormat="1">
      <alignment/>
      <protection/>
    </xf>
    <xf numFmtId="0" fontId="0" fillId="0" borderId="0" xfId="20" applyAlignment="1">
      <alignment horizontal="right" vertical="center" indent="1"/>
      <protection/>
    </xf>
    <xf numFmtId="4" fontId="88" fillId="0" borderId="0" xfId="20" applyNumberFormat="1" applyFont="1">
      <alignment/>
      <protection/>
    </xf>
    <xf numFmtId="169" fontId="102" fillId="0" borderId="0" xfId="20" applyNumberFormat="1" applyFont="1">
      <alignment/>
      <protection/>
    </xf>
    <xf numFmtId="0" fontId="15" fillId="0" borderId="27" xfId="20" applyFont="1" applyFill="1" applyBorder="1" applyAlignment="1">
      <alignment horizontal="center" vertical="center"/>
      <protection/>
    </xf>
    <xf numFmtId="4" fontId="30" fillId="0" borderId="15" xfId="276" applyNumberFormat="1" applyFont="1" applyFill="1" applyBorder="1" applyAlignment="1">
      <alignment horizontal="right" vertical="center" indent="1"/>
      <protection/>
    </xf>
    <xf numFmtId="49" fontId="103" fillId="0" borderId="0" xfId="20" applyNumberFormat="1" applyFont="1" applyFill="1" applyBorder="1" applyAlignment="1">
      <alignment vertical="center" wrapText="1"/>
      <protection/>
    </xf>
    <xf numFmtId="0" fontId="41" fillId="0" borderId="14" xfId="24" applyFont="1" applyFill="1" applyBorder="1" applyAlignment="1">
      <alignment horizontal="left" vertical="center" wrapText="1"/>
      <protection/>
    </xf>
    <xf numFmtId="4" fontId="30" fillId="0" borderId="40" xfId="24" applyNumberFormat="1" applyFont="1" applyFill="1" applyBorder="1" applyAlignment="1">
      <alignment horizontal="center" vertical="center"/>
      <protection/>
    </xf>
    <xf numFmtId="4" fontId="41" fillId="0" borderId="16" xfId="0" applyNumberFormat="1" applyFont="1" applyFill="1" applyBorder="1" applyAlignment="1">
      <alignment horizontal="right" vertical="center" indent="1"/>
    </xf>
    <xf numFmtId="4" fontId="41" fillId="0" borderId="15" xfId="24" applyNumberFormat="1" applyFont="1" applyFill="1" applyBorder="1" applyAlignment="1">
      <alignment horizontal="right" vertical="center" indent="1"/>
      <protection/>
    </xf>
    <xf numFmtId="0" fontId="41" fillId="0" borderId="0" xfId="24" applyFont="1" applyFill="1" applyBorder="1" applyAlignment="1">
      <alignment vertical="center"/>
      <protection/>
    </xf>
    <xf numFmtId="4" fontId="41" fillId="0" borderId="14" xfId="24" applyNumberFormat="1" applyFont="1" applyFill="1" applyBorder="1" applyAlignment="1">
      <alignment horizontal="left" vertical="center" wrapText="1"/>
      <protection/>
    </xf>
    <xf numFmtId="49" fontId="29" fillId="0" borderId="36" xfId="24" applyNumberFormat="1" applyFont="1" applyFill="1" applyBorder="1" applyAlignment="1">
      <alignment horizontal="center" vertical="center"/>
      <protection/>
    </xf>
    <xf numFmtId="4" fontId="29" fillId="0" borderId="40" xfId="24" applyNumberFormat="1" applyFont="1" applyFill="1" applyBorder="1" applyAlignment="1">
      <alignment horizontal="left" vertical="center" wrapText="1"/>
      <protection/>
    </xf>
    <xf numFmtId="4" fontId="30" fillId="0" borderId="40" xfId="0" applyNumberFormat="1" applyFont="1" applyFill="1" applyBorder="1" applyAlignment="1">
      <alignment horizontal="center" vertical="center"/>
    </xf>
    <xf numFmtId="4" fontId="29" fillId="0" borderId="53" xfId="24" applyNumberFormat="1" applyFont="1" applyFill="1" applyBorder="1" applyAlignment="1">
      <alignment horizontal="right" vertical="center" indent="1"/>
      <protection/>
    </xf>
    <xf numFmtId="164" fontId="3" fillId="0" borderId="0" xfId="24" applyNumberFormat="1" applyFont="1" applyFill="1" applyBorder="1" applyAlignment="1">
      <alignment horizontal="right" vertical="center" indent="1"/>
      <protection/>
    </xf>
    <xf numFmtId="165" fontId="3" fillId="0" borderId="0" xfId="24" applyNumberFormat="1" applyFont="1" applyFill="1" applyAlignment="1">
      <alignment horizontal="right" vertical="center" indent="1"/>
      <protection/>
    </xf>
    <xf numFmtId="164" fontId="43" fillId="0" borderId="0" xfId="24" applyNumberFormat="1" applyFont="1" applyFill="1" applyBorder="1" applyAlignment="1">
      <alignment horizontal="right" vertical="center" indent="1"/>
      <protection/>
    </xf>
    <xf numFmtId="0" fontId="43" fillId="0" borderId="0" xfId="24" applyFont="1" applyFill="1" applyBorder="1" applyAlignment="1">
      <alignment vertical="center"/>
      <protection/>
    </xf>
    <xf numFmtId="0" fontId="43" fillId="0" borderId="0" xfId="24" applyFont="1" applyFill="1" applyAlignment="1">
      <alignment vertical="center"/>
      <protection/>
    </xf>
    <xf numFmtId="164" fontId="43" fillId="0" borderId="0" xfId="276" applyNumberFormat="1" applyFont="1" applyFill="1" applyBorder="1" applyAlignment="1">
      <alignment horizontal="right" vertical="center" indent="1"/>
      <protection/>
    </xf>
    <xf numFmtId="0" fontId="43" fillId="0" borderId="0" xfId="276" applyFont="1" applyFill="1" applyBorder="1" applyAlignment="1">
      <alignment vertical="center"/>
      <protection/>
    </xf>
    <xf numFmtId="0" fontId="3" fillId="0" borderId="0" xfId="276" applyFont="1" applyFill="1" applyAlignment="1">
      <alignment vertical="center"/>
      <protection/>
    </xf>
    <xf numFmtId="0" fontId="43" fillId="0" borderId="0" xfId="276" applyFont="1" applyFill="1" applyAlignment="1">
      <alignment vertical="center"/>
      <protection/>
    </xf>
    <xf numFmtId="164" fontId="24" fillId="0" borderId="0" xfId="25" applyNumberFormat="1" applyFont="1" applyFill="1" applyBorder="1" applyAlignment="1">
      <alignment horizontal="right" vertical="center" indent="1"/>
      <protection/>
    </xf>
    <xf numFmtId="164" fontId="37" fillId="0" borderId="0" xfId="24" applyNumberFormat="1" applyFont="1" applyFill="1" applyBorder="1" applyAlignment="1">
      <alignment horizontal="right" vertical="center" indent="1"/>
      <protection/>
    </xf>
    <xf numFmtId="165" fontId="35" fillId="0" borderId="0" xfId="24" applyNumberFormat="1" applyFont="1" applyFill="1" applyAlignment="1">
      <alignment horizontal="right" vertical="center" indent="1"/>
      <protection/>
    </xf>
    <xf numFmtId="0" fontId="2" fillId="0" borderId="0" xfId="24" applyFont="1" applyFill="1">
      <alignment/>
      <protection/>
    </xf>
    <xf numFmtId="4" fontId="2" fillId="0" borderId="0" xfId="24" applyNumberFormat="1" applyFont="1" applyFill="1">
      <alignment/>
      <protection/>
    </xf>
    <xf numFmtId="0" fontId="18" fillId="0" borderId="36" xfId="20" applyFont="1" applyFill="1" applyBorder="1" applyAlignment="1">
      <alignment horizontal="center" vertical="center"/>
      <protection/>
    </xf>
    <xf numFmtId="0" fontId="18" fillId="0" borderId="48" xfId="20" applyFont="1" applyFill="1" applyBorder="1" applyAlignment="1">
      <alignment vertical="center" wrapText="1"/>
      <protection/>
    </xf>
    <xf numFmtId="49" fontId="104" fillId="0" borderId="48" xfId="276" applyNumberFormat="1" applyFont="1" applyFill="1" applyBorder="1" applyAlignment="1">
      <alignment horizontal="center" vertical="center" shrinkToFit="1"/>
      <protection/>
    </xf>
    <xf numFmtId="4" fontId="18" fillId="0" borderId="49" xfId="20" applyNumberFormat="1" applyFont="1" applyFill="1" applyBorder="1" applyAlignment="1">
      <alignment horizontal="right" vertical="center" indent="1"/>
      <protection/>
    </xf>
    <xf numFmtId="4" fontId="104" fillId="0" borderId="49" xfId="276" applyNumberFormat="1" applyFont="1" applyFill="1" applyBorder="1" applyAlignment="1">
      <alignment horizontal="right" vertical="center" indent="1"/>
      <protection/>
    </xf>
    <xf numFmtId="164" fontId="34" fillId="0" borderId="0" xfId="20" applyNumberFormat="1" applyFont="1" applyFill="1" applyBorder="1" applyAlignment="1">
      <alignment horizontal="right" vertical="center" indent="1"/>
      <protection/>
    </xf>
    <xf numFmtId="165" fontId="34" fillId="0" borderId="0" xfId="20" applyNumberFormat="1" applyFont="1" applyFill="1" applyAlignment="1">
      <alignment horizontal="right" vertical="center" indent="1"/>
      <protection/>
    </xf>
    <xf numFmtId="0" fontId="26" fillId="0" borderId="0" xfId="20" applyFont="1" applyFill="1" applyAlignment="1">
      <alignment vertical="center"/>
      <protection/>
    </xf>
    <xf numFmtId="4" fontId="26" fillId="0" borderId="0" xfId="20" applyNumberFormat="1" applyFont="1" applyFill="1" applyAlignment="1">
      <alignment vertical="center"/>
      <protection/>
    </xf>
    <xf numFmtId="164" fontId="6" fillId="0" borderId="0" xfId="276" applyNumberFormat="1" applyFont="1" applyFill="1" applyAlignment="1">
      <alignment horizontal="right" vertical="center" indent="1"/>
      <protection/>
    </xf>
    <xf numFmtId="49" fontId="25" fillId="0" borderId="12" xfId="276" applyNumberFormat="1" applyFont="1" applyFill="1" applyBorder="1" applyAlignment="1">
      <alignment horizontal="center" vertical="center"/>
      <protection/>
    </xf>
    <xf numFmtId="49" fontId="2" fillId="0" borderId="36" xfId="24" applyNumberFormat="1" applyFont="1" applyFill="1" applyBorder="1" applyAlignment="1">
      <alignment horizontal="center" vertical="center"/>
      <protection/>
    </xf>
    <xf numFmtId="0" fontId="3" fillId="0" borderId="57" xfId="20" applyFont="1" applyFill="1" applyBorder="1" applyAlignment="1">
      <alignment horizontal="center" vertical="center"/>
      <protection/>
    </xf>
    <xf numFmtId="0" fontId="3" fillId="0" borderId="40" xfId="20" applyFont="1" applyFill="1" applyBorder="1" applyAlignment="1">
      <alignment vertical="center" wrapText="1"/>
      <protection/>
    </xf>
    <xf numFmtId="49" fontId="2" fillId="0" borderId="40" xfId="276" applyNumberFormat="1" applyFont="1" applyFill="1" applyBorder="1" applyAlignment="1">
      <alignment horizontal="center" vertical="center" shrinkToFit="1"/>
      <protection/>
    </xf>
    <xf numFmtId="49" fontId="0" fillId="0" borderId="36" xfId="20" applyNumberFormat="1" applyFill="1" applyBorder="1" applyAlignment="1">
      <alignment horizontal="center" vertical="center"/>
      <protection/>
    </xf>
    <xf numFmtId="0" fontId="0" fillId="0" borderId="16" xfId="20" applyFill="1" applyBorder="1" applyAlignment="1">
      <alignment vertical="center" wrapText="1"/>
      <protection/>
    </xf>
    <xf numFmtId="0" fontId="0" fillId="0" borderId="16" xfId="20" applyFill="1" applyBorder="1" applyAlignment="1">
      <alignment horizontal="center" vertical="center"/>
      <protection/>
    </xf>
    <xf numFmtId="166" fontId="0" fillId="0" borderId="16" xfId="20" applyNumberFormat="1" applyFill="1" applyBorder="1" applyAlignment="1">
      <alignment horizontal="center" vertical="center"/>
      <protection/>
    </xf>
    <xf numFmtId="4" fontId="0" fillId="0" borderId="16" xfId="20" applyNumberFormat="1" applyFont="1" applyFill="1" applyBorder="1" applyAlignment="1">
      <alignment horizontal="right" vertical="center" indent="1"/>
      <protection/>
    </xf>
    <xf numFmtId="4" fontId="0" fillId="0" borderId="37" xfId="20" applyNumberFormat="1" applyFill="1" applyBorder="1" applyAlignment="1">
      <alignment horizontal="right" vertical="center" indent="1"/>
      <protection/>
    </xf>
    <xf numFmtId="4" fontId="30" fillId="0" borderId="40" xfId="24" applyNumberFormat="1" applyFont="1" applyFill="1" applyBorder="1" applyAlignment="1">
      <alignment horizontal="right" vertical="center" indent="1"/>
      <protection/>
    </xf>
    <xf numFmtId="49" fontId="41" fillId="0" borderId="35" xfId="24" applyNumberFormat="1" applyFont="1" applyFill="1" applyBorder="1" applyAlignment="1">
      <alignment horizontal="center" vertical="center"/>
      <protection/>
    </xf>
    <xf numFmtId="49" fontId="2" fillId="0" borderId="14" xfId="276" applyNumberFormat="1" applyFont="1" applyFill="1" applyBorder="1" applyAlignment="1">
      <alignment horizontal="center" vertical="center" wrapText="1" shrinkToFit="1"/>
      <protection/>
    </xf>
    <xf numFmtId="4" fontId="2" fillId="0" borderId="48" xfId="276" applyNumberFormat="1" applyFont="1" applyFill="1" applyBorder="1" applyAlignment="1">
      <alignment horizontal="right" vertical="center" indent="1"/>
      <protection/>
    </xf>
    <xf numFmtId="49" fontId="2" fillId="0" borderId="38" xfId="276" applyNumberFormat="1" applyFont="1" applyFill="1" applyBorder="1" applyAlignment="1">
      <alignment horizontal="center" vertical="center"/>
      <protection/>
    </xf>
    <xf numFmtId="49" fontId="2" fillId="0" borderId="40" xfId="276" applyNumberFormat="1" applyFont="1" applyFill="1" applyBorder="1" applyAlignment="1">
      <alignment horizontal="center" vertical="center"/>
      <protection/>
    </xf>
    <xf numFmtId="0" fontId="3" fillId="0" borderId="40" xfId="20" applyFont="1" applyFill="1" applyBorder="1" applyAlignment="1">
      <alignment horizontal="center" vertical="center" wrapText="1"/>
      <protection/>
    </xf>
    <xf numFmtId="4" fontId="2" fillId="0" borderId="40" xfId="276" applyNumberFormat="1" applyFont="1" applyFill="1" applyBorder="1" applyAlignment="1">
      <alignment horizontal="right" vertical="center" indent="1"/>
      <protection/>
    </xf>
    <xf numFmtId="4" fontId="3" fillId="0" borderId="41" xfId="21" applyNumberFormat="1" applyFont="1" applyFill="1" applyBorder="1" applyAlignment="1">
      <alignment horizontal="right" vertical="center" indent="1"/>
      <protection/>
    </xf>
    <xf numFmtId="49" fontId="0" fillId="0" borderId="17" xfId="20" applyNumberFormat="1" applyFont="1" applyFill="1" applyBorder="1" applyAlignment="1">
      <alignment horizontal="center" vertical="center"/>
      <protection/>
    </xf>
    <xf numFmtId="0" fontId="0" fillId="0" borderId="18" xfId="20" applyFont="1" applyFill="1" applyBorder="1" applyAlignment="1">
      <alignment vertical="center" wrapText="1"/>
      <protection/>
    </xf>
    <xf numFmtId="0" fontId="0" fillId="0" borderId="18" xfId="20" applyFont="1" applyFill="1" applyBorder="1" applyAlignment="1">
      <alignment horizontal="center" vertical="center"/>
      <protection/>
    </xf>
    <xf numFmtId="4" fontId="0" fillId="0" borderId="19" xfId="20" applyNumberFormat="1" applyFont="1" applyFill="1" applyBorder="1" applyAlignment="1">
      <alignment horizontal="right" vertical="center"/>
      <protection/>
    </xf>
    <xf numFmtId="49" fontId="0" fillId="0" borderId="12" xfId="20" applyNumberFormat="1" applyFont="1" applyFill="1" applyBorder="1" applyAlignment="1">
      <alignment horizontal="center" vertical="center"/>
      <protection/>
    </xf>
    <xf numFmtId="0" fontId="0" fillId="0" borderId="14" xfId="20" applyFont="1" applyFill="1" applyBorder="1" applyAlignment="1">
      <alignment vertical="center" wrapText="1"/>
      <protection/>
    </xf>
    <xf numFmtId="0" fontId="0" fillId="0" borderId="14" xfId="20" applyFont="1" applyFill="1" applyBorder="1" applyAlignment="1">
      <alignment horizontal="center" vertical="center"/>
      <protection/>
    </xf>
    <xf numFmtId="3" fontId="97" fillId="0" borderId="14" xfId="20" applyNumberFormat="1" applyFont="1" applyFill="1" applyBorder="1" applyAlignment="1">
      <alignment horizontal="center" vertical="center"/>
      <protection/>
    </xf>
    <xf numFmtId="0" fontId="3" fillId="0" borderId="21" xfId="20" applyFont="1" applyFill="1" applyBorder="1" applyAlignment="1">
      <alignment vertical="center" wrapText="1"/>
      <protection/>
    </xf>
    <xf numFmtId="3" fontId="96" fillId="0" borderId="21" xfId="20" applyNumberFormat="1" applyFont="1" applyFill="1" applyBorder="1" applyAlignment="1">
      <alignment vertical="center"/>
      <protection/>
    </xf>
    <xf numFmtId="4" fontId="3" fillId="0" borderId="22" xfId="20" applyNumberFormat="1" applyFont="1" applyFill="1" applyBorder="1" applyAlignment="1">
      <alignment horizontal="right" vertical="center" indent="1"/>
      <protection/>
    </xf>
    <xf numFmtId="0" fontId="3" fillId="0" borderId="40" xfId="27" applyFont="1" applyFill="1" applyBorder="1" applyAlignment="1" applyProtection="1">
      <alignment horizontal="left" vertical="center" wrapText="1"/>
      <protection/>
    </xf>
    <xf numFmtId="4" fontId="3" fillId="0" borderId="40" xfId="274" applyNumberFormat="1" applyFont="1" applyFill="1" applyBorder="1" applyAlignment="1">
      <alignment horizontal="right" vertical="center" indent="1"/>
      <protection/>
    </xf>
    <xf numFmtId="4" fontId="3" fillId="0" borderId="41" xfId="0" applyNumberFormat="1" applyFont="1" applyFill="1" applyBorder="1" applyAlignment="1">
      <alignment horizontal="right" vertical="center" wrapText="1" indent="1"/>
    </xf>
    <xf numFmtId="0" fontId="2" fillId="0" borderId="40" xfId="276" applyFont="1" applyFill="1" applyBorder="1" applyAlignment="1">
      <alignment vertical="center" wrapText="1"/>
      <protection/>
    </xf>
    <xf numFmtId="4" fontId="2" fillId="0" borderId="14" xfId="276" applyNumberFormat="1" applyFont="1" applyFill="1" applyBorder="1" applyAlignment="1">
      <alignment horizontal="center" vertical="center"/>
      <protection/>
    </xf>
    <xf numFmtId="4" fontId="2" fillId="0" borderId="40" xfId="276" applyNumberFormat="1" applyFont="1" applyFill="1" applyBorder="1" applyAlignment="1">
      <alignment horizontal="center" vertical="center"/>
      <protection/>
    </xf>
    <xf numFmtId="49" fontId="2" fillId="0" borderId="39" xfId="24" applyNumberFormat="1" applyFont="1" applyFill="1" applyBorder="1" applyAlignment="1">
      <alignment horizontal="center" vertical="center"/>
      <protection/>
    </xf>
    <xf numFmtId="4" fontId="3" fillId="0" borderId="40" xfId="20" applyNumberFormat="1" applyFont="1" applyFill="1" applyBorder="1" applyAlignment="1">
      <alignment horizontal="right" vertical="center" wrapText="1" indent="1"/>
      <protection/>
    </xf>
    <xf numFmtId="0" fontId="25" fillId="0" borderId="14" xfId="24" applyFont="1" applyFill="1" applyBorder="1" applyAlignment="1">
      <alignment vertical="center" wrapText="1"/>
      <protection/>
    </xf>
    <xf numFmtId="49" fontId="3" fillId="0" borderId="38" xfId="24" applyNumberFormat="1" applyFont="1" applyFill="1" applyBorder="1" applyAlignment="1">
      <alignment horizontal="center" vertical="center"/>
      <protection/>
    </xf>
    <xf numFmtId="49" fontId="3" fillId="0" borderId="40" xfId="24" applyNumberFormat="1" applyFont="1" applyFill="1" applyBorder="1" applyAlignment="1">
      <alignment horizontal="center" vertical="center"/>
      <protection/>
    </xf>
    <xf numFmtId="0" fontId="3" fillId="0" borderId="40" xfId="24" applyFont="1" applyFill="1" applyBorder="1" applyAlignment="1">
      <alignment vertical="center" wrapText="1"/>
      <protection/>
    </xf>
    <xf numFmtId="4" fontId="3" fillId="0" borderId="40" xfId="24" applyNumberFormat="1" applyFont="1" applyFill="1" applyBorder="1" applyAlignment="1">
      <alignment horizontal="right" vertical="center" indent="1"/>
      <protection/>
    </xf>
    <xf numFmtId="0" fontId="18" fillId="0" borderId="40" xfId="24" applyFont="1" applyFill="1" applyBorder="1" applyAlignment="1">
      <alignment vertical="center" wrapText="1"/>
      <protection/>
    </xf>
    <xf numFmtId="0" fontId="18" fillId="0" borderId="14" xfId="24" applyFont="1" applyFill="1" applyBorder="1" applyAlignment="1">
      <alignment vertical="center" wrapText="1"/>
      <protection/>
    </xf>
    <xf numFmtId="0" fontId="105" fillId="0" borderId="14" xfId="276" applyFont="1" applyFill="1" applyBorder="1" applyAlignment="1">
      <alignment vertical="center" wrapText="1"/>
      <protection/>
    </xf>
    <xf numFmtId="0" fontId="104" fillId="0" borderId="14" xfId="276" applyFont="1" applyFill="1" applyBorder="1" applyAlignment="1">
      <alignment vertical="center" wrapText="1"/>
      <protection/>
    </xf>
    <xf numFmtId="4" fontId="0" fillId="0" borderId="15" xfId="20" applyNumberFormat="1" applyFont="1" applyFill="1" applyBorder="1" applyAlignment="1">
      <alignment horizontal="right" vertical="center" indent="1"/>
      <protection/>
    </xf>
    <xf numFmtId="0" fontId="3" fillId="0" borderId="14" xfId="20" applyNumberFormat="1" applyFont="1" applyFill="1" applyBorder="1" applyAlignment="1">
      <alignment vertical="center" wrapText="1"/>
      <protection/>
    </xf>
    <xf numFmtId="49" fontId="41" fillId="0" borderId="38" xfId="24" applyNumberFormat="1" applyFont="1" applyFill="1" applyBorder="1" applyAlignment="1">
      <alignment horizontal="center" vertical="center"/>
      <protection/>
    </xf>
    <xf numFmtId="49" fontId="41" fillId="0" borderId="39" xfId="24" applyNumberFormat="1" applyFont="1" applyFill="1" applyBorder="1" applyAlignment="1">
      <alignment horizontal="center" vertical="center"/>
      <protection/>
    </xf>
    <xf numFmtId="4" fontId="41" fillId="0" borderId="40" xfId="24" applyNumberFormat="1" applyFont="1" applyFill="1" applyBorder="1" applyAlignment="1">
      <alignment horizontal="left" vertical="center" wrapText="1"/>
      <protection/>
    </xf>
    <xf numFmtId="4" fontId="41" fillId="0" borderId="41" xfId="24" applyNumberFormat="1" applyFont="1" applyFill="1" applyBorder="1" applyAlignment="1">
      <alignment horizontal="right" vertical="center" indent="1"/>
      <protection/>
    </xf>
    <xf numFmtId="4" fontId="41" fillId="0" borderId="14" xfId="0" applyNumberFormat="1" applyFont="1" applyFill="1" applyBorder="1" applyAlignment="1">
      <alignment horizontal="right" vertical="center" indent="1"/>
    </xf>
    <xf numFmtId="49" fontId="3" fillId="0" borderId="39" xfId="24" applyNumberFormat="1" applyFont="1" applyFill="1" applyBorder="1" applyAlignment="1">
      <alignment horizontal="center" vertical="center"/>
      <protection/>
    </xf>
    <xf numFmtId="4" fontId="3" fillId="0" borderId="40" xfId="24" applyNumberFormat="1" applyFont="1" applyFill="1" applyBorder="1" applyAlignment="1">
      <alignment horizontal="left" vertical="center" wrapText="1"/>
      <protection/>
    </xf>
    <xf numFmtId="4" fontId="3" fillId="0" borderId="14" xfId="0" applyNumberFormat="1" applyFont="1" applyFill="1" applyBorder="1" applyAlignment="1">
      <alignment horizontal="right" vertical="center" indent="1"/>
    </xf>
    <xf numFmtId="0" fontId="3" fillId="0" borderId="0" xfId="24" applyFont="1" applyFill="1" applyBorder="1" applyAlignment="1">
      <alignment vertical="center"/>
      <protection/>
    </xf>
    <xf numFmtId="49" fontId="3" fillId="0" borderId="39" xfId="274" applyNumberFormat="1" applyFont="1" applyFill="1" applyBorder="1" applyAlignment="1">
      <alignment horizontal="center" vertical="center"/>
      <protection/>
    </xf>
    <xf numFmtId="49" fontId="2" fillId="0" borderId="40" xfId="275" applyNumberFormat="1" applyFont="1" applyFill="1" applyBorder="1" applyAlignment="1">
      <alignment horizontal="center" vertical="center"/>
      <protection/>
    </xf>
    <xf numFmtId="164" fontId="35" fillId="31" borderId="0" xfId="276" applyNumberFormat="1" applyFont="1" applyFill="1" applyBorder="1" applyAlignment="1">
      <alignment horizontal="right" vertical="center" indent="1"/>
      <protection/>
    </xf>
    <xf numFmtId="164" fontId="7" fillId="31" borderId="0" xfId="20" applyNumberFormat="1" applyFont="1" applyFill="1" applyBorder="1" applyAlignment="1">
      <alignment horizontal="right" vertical="center" indent="1"/>
      <protection/>
    </xf>
    <xf numFmtId="49" fontId="105" fillId="0" borderId="35" xfId="28" applyNumberFormat="1" applyFont="1" applyFill="1" applyBorder="1" applyAlignment="1">
      <alignment horizontal="center"/>
      <protection/>
    </xf>
    <xf numFmtId="49" fontId="4" fillId="0" borderId="16" xfId="28" applyNumberFormat="1" applyFont="1" applyFill="1" applyBorder="1" applyAlignment="1">
      <alignment horizontal="center" vertical="center"/>
      <protection/>
    </xf>
    <xf numFmtId="49" fontId="4" fillId="0" borderId="16" xfId="28" applyNumberFormat="1" applyFont="1" applyFill="1" applyBorder="1" applyAlignment="1">
      <alignment horizontal="center" shrinkToFit="1"/>
      <protection/>
    </xf>
    <xf numFmtId="4" fontId="4" fillId="0" borderId="16" xfId="28" applyNumberFormat="1" applyFont="1" applyFill="1" applyBorder="1" applyAlignment="1">
      <alignment horizontal="right" vertical="center"/>
      <protection/>
    </xf>
    <xf numFmtId="4" fontId="4" fillId="0" borderId="16" xfId="28" applyNumberFormat="1" applyFont="1" applyFill="1" applyBorder="1" applyAlignment="1">
      <alignment horizontal="right" vertical="center" indent="1"/>
      <protection/>
    </xf>
    <xf numFmtId="4" fontId="4" fillId="0" borderId="37" xfId="28" applyNumberFormat="1" applyFont="1" applyFill="1" applyBorder="1">
      <alignment/>
      <protection/>
    </xf>
    <xf numFmtId="164" fontId="6" fillId="0" borderId="0" xfId="28" applyNumberFormat="1" applyFont="1" applyFill="1" applyBorder="1" applyAlignment="1">
      <alignment horizontal="right" vertical="center" indent="1"/>
      <protection/>
    </xf>
    <xf numFmtId="165" fontId="6" fillId="0" borderId="0" xfId="28" applyNumberFormat="1" applyFont="1" applyAlignment="1">
      <alignment horizontal="right" vertical="center" indent="1"/>
      <protection/>
    </xf>
    <xf numFmtId="0" fontId="4" fillId="0" borderId="0" xfId="28" applyFont="1">
      <alignment/>
      <protection/>
    </xf>
    <xf numFmtId="4" fontId="4" fillId="0" borderId="0" xfId="28" applyNumberFormat="1" applyFont="1">
      <alignment/>
      <protection/>
    </xf>
    <xf numFmtId="49" fontId="78" fillId="0" borderId="35" xfId="276" applyNumberFormat="1" applyFont="1" applyFill="1" applyBorder="1" applyAlignment="1">
      <alignment horizontal="center" vertical="center"/>
      <protection/>
    </xf>
    <xf numFmtId="49" fontId="30" fillId="0" borderId="36" xfId="276" applyNumberFormat="1" applyFont="1" applyFill="1" applyBorder="1" applyAlignment="1">
      <alignment horizontal="center" vertical="center"/>
      <protection/>
    </xf>
    <xf numFmtId="0" fontId="30" fillId="0" borderId="16" xfId="276" applyFont="1" applyFill="1" applyBorder="1" applyAlignment="1">
      <alignment vertical="center" wrapText="1"/>
      <protection/>
    </xf>
    <xf numFmtId="4" fontId="30" fillId="0" borderId="16" xfId="276" applyNumberFormat="1" applyFont="1" applyFill="1" applyBorder="1" applyAlignment="1">
      <alignment horizontal="center" vertical="center"/>
      <protection/>
    </xf>
    <xf numFmtId="4" fontId="30" fillId="0" borderId="16" xfId="276" applyNumberFormat="1" applyFont="1" applyFill="1" applyBorder="1" applyAlignment="1">
      <alignment horizontal="right" vertical="center" indent="1"/>
      <protection/>
    </xf>
    <xf numFmtId="4" fontId="30" fillId="0" borderId="37" xfId="276" applyNumberFormat="1" applyFont="1" applyFill="1" applyBorder="1" applyAlignment="1">
      <alignment horizontal="right" vertical="center" indent="1"/>
      <protection/>
    </xf>
    <xf numFmtId="4" fontId="2" fillId="0" borderId="58" xfId="276" applyNumberFormat="1" applyFont="1" applyFill="1" applyBorder="1" applyAlignment="1">
      <alignment horizontal="right" vertical="center" indent="1"/>
      <protection/>
    </xf>
    <xf numFmtId="4" fontId="3" fillId="0" borderId="41" xfId="20" applyNumberFormat="1" applyFont="1" applyFill="1" applyBorder="1" applyAlignment="1">
      <alignment horizontal="right" vertical="center" wrapText="1" indent="1"/>
      <protection/>
    </xf>
    <xf numFmtId="49" fontId="105" fillId="0" borderId="14" xfId="276" applyNumberFormat="1" applyFont="1" applyFill="1" applyBorder="1" applyAlignment="1">
      <alignment horizontal="center" vertical="center"/>
      <protection/>
    </xf>
    <xf numFmtId="0" fontId="4" fillId="0" borderId="16" xfId="28" applyFont="1" applyFill="1" applyBorder="1" applyAlignment="1">
      <alignment vertical="center" wrapText="1"/>
      <protection/>
    </xf>
    <xf numFmtId="49" fontId="104" fillId="0" borderId="14" xfId="276" applyNumberFormat="1" applyFont="1" applyFill="1" applyBorder="1" applyAlignment="1">
      <alignment horizontal="center" vertical="center"/>
      <protection/>
    </xf>
    <xf numFmtId="0" fontId="41" fillId="0" borderId="48" xfId="20" applyFont="1" applyFill="1" applyBorder="1" applyAlignment="1">
      <alignment horizontal="left" vertical="center" wrapText="1"/>
      <protection/>
    </xf>
    <xf numFmtId="165" fontId="6" fillId="0" borderId="0" xfId="28" applyNumberFormat="1" applyFont="1" applyFill="1" applyAlignment="1">
      <alignment horizontal="right" vertical="center" indent="1"/>
      <protection/>
    </xf>
    <xf numFmtId="0" fontId="4" fillId="0" borderId="0" xfId="28" applyFont="1" applyFill="1">
      <alignment/>
      <protection/>
    </xf>
    <xf numFmtId="4" fontId="4" fillId="0" borderId="0" xfId="28" applyNumberFormat="1" applyFont="1" applyFill="1">
      <alignment/>
      <protection/>
    </xf>
    <xf numFmtId="164" fontId="27" fillId="0" borderId="0" xfId="20" applyNumberFormat="1" applyFont="1" applyBorder="1" applyAlignment="1">
      <alignment horizontal="right" vertical="center" indent="1"/>
      <protection/>
    </xf>
    <xf numFmtId="49" fontId="18" fillId="32" borderId="12" xfId="276" applyNumberFormat="1" applyFont="1" applyFill="1" applyBorder="1" applyAlignment="1">
      <alignment horizontal="center" vertical="center"/>
      <protection/>
    </xf>
    <xf numFmtId="0" fontId="18" fillId="32" borderId="36" xfId="20" applyFont="1" applyFill="1" applyBorder="1" applyAlignment="1">
      <alignment horizontal="center" vertical="center"/>
      <protection/>
    </xf>
    <xf numFmtId="0" fontId="18" fillId="32" borderId="48" xfId="20" applyFont="1" applyFill="1" applyBorder="1" applyAlignment="1">
      <alignment vertical="center" wrapText="1"/>
      <protection/>
    </xf>
    <xf numFmtId="49" fontId="104" fillId="32" borderId="48" xfId="276" applyNumberFormat="1" applyFont="1" applyFill="1" applyBorder="1" applyAlignment="1">
      <alignment horizontal="center" vertical="center" shrinkToFit="1"/>
      <protection/>
    </xf>
    <xf numFmtId="4" fontId="18" fillId="32" borderId="49" xfId="20" applyNumberFormat="1" applyFont="1" applyFill="1" applyBorder="1" applyAlignment="1">
      <alignment horizontal="right" vertical="center" indent="1"/>
      <protection/>
    </xf>
    <xf numFmtId="4" fontId="104" fillId="32" borderId="49" xfId="276" applyNumberFormat="1" applyFont="1" applyFill="1" applyBorder="1" applyAlignment="1">
      <alignment horizontal="right" vertical="center" indent="1"/>
      <protection/>
    </xf>
    <xf numFmtId="4" fontId="3" fillId="32" borderId="15" xfId="20" applyNumberFormat="1" applyFont="1" applyFill="1" applyBorder="1" applyAlignment="1">
      <alignment horizontal="right" vertical="center" wrapText="1" indent="1"/>
      <protection/>
    </xf>
    <xf numFmtId="164" fontId="7" fillId="32" borderId="0" xfId="20" applyNumberFormat="1" applyFont="1" applyFill="1" applyBorder="1" applyAlignment="1">
      <alignment horizontal="right" vertical="center" indent="1"/>
      <protection/>
    </xf>
    <xf numFmtId="164" fontId="35" fillId="32" borderId="0" xfId="276" applyNumberFormat="1" applyFont="1" applyFill="1" applyBorder="1" applyAlignment="1">
      <alignment horizontal="right" vertical="center" indent="1"/>
      <protection/>
    </xf>
    <xf numFmtId="164" fontId="34" fillId="32" borderId="0" xfId="20" applyNumberFormat="1" applyFont="1" applyFill="1" applyBorder="1" applyAlignment="1">
      <alignment horizontal="right" vertical="center" indent="1"/>
      <protection/>
    </xf>
    <xf numFmtId="165" fontId="34" fillId="32" borderId="0" xfId="20" applyNumberFormat="1" applyFont="1" applyFill="1" applyAlignment="1">
      <alignment horizontal="right" vertical="center" indent="1"/>
      <protection/>
    </xf>
    <xf numFmtId="0" fontId="26" fillId="32" borderId="0" xfId="20" applyFont="1" applyFill="1" applyAlignment="1">
      <alignment vertical="center"/>
      <protection/>
    </xf>
    <xf numFmtId="4" fontId="26" fillId="32" borderId="0" xfId="20" applyNumberFormat="1" applyFont="1" applyFill="1" applyAlignment="1">
      <alignment vertical="center"/>
      <protection/>
    </xf>
    <xf numFmtId="49" fontId="9" fillId="0" borderId="0" xfId="20" applyNumberFormat="1" applyFont="1" applyFill="1" applyBorder="1" applyAlignment="1">
      <alignment vertical="center" wrapText="1"/>
      <protection/>
    </xf>
    <xf numFmtId="0" fontId="10" fillId="0" borderId="0" xfId="20" applyFont="1" applyFill="1" applyBorder="1" applyAlignment="1">
      <alignment vertical="center"/>
      <protection/>
    </xf>
    <xf numFmtId="0" fontId="101" fillId="0" borderId="25" xfId="20" applyFont="1" applyBorder="1" applyAlignment="1">
      <alignment horizontal="justify" vertical="center" wrapText="1"/>
      <protection/>
    </xf>
    <xf numFmtId="0" fontId="101" fillId="0" borderId="26" xfId="20" applyFont="1" applyBorder="1" applyAlignment="1">
      <alignment horizontal="justify" vertical="center" wrapText="1"/>
      <protection/>
    </xf>
    <xf numFmtId="0" fontId="86" fillId="0" borderId="0" xfId="20" applyFont="1" applyBorder="1" applyAlignment="1">
      <alignment horizontal="left" wrapText="1"/>
      <protection/>
    </xf>
    <xf numFmtId="0" fontId="86" fillId="0" borderId="11" xfId="20" applyFont="1" applyBorder="1" applyAlignment="1">
      <alignment horizontal="left" wrapText="1"/>
      <protection/>
    </xf>
    <xf numFmtId="4" fontId="2" fillId="0" borderId="53" xfId="276" applyNumberFormat="1" applyFont="1" applyFill="1" applyBorder="1" applyAlignment="1">
      <alignment horizontal="right" vertical="center" indent="1"/>
      <protection/>
    </xf>
    <xf numFmtId="49" fontId="3" fillId="0" borderId="35" xfId="20" applyNumberFormat="1" applyFont="1" applyFill="1" applyBorder="1" applyAlignment="1">
      <alignment vertical="center"/>
      <protection/>
    </xf>
    <xf numFmtId="0" fontId="3" fillId="0" borderId="16" xfId="20" applyFont="1" applyFill="1" applyBorder="1" applyAlignment="1">
      <alignment vertical="center" wrapText="1"/>
      <protection/>
    </xf>
    <xf numFmtId="10" fontId="3" fillId="0" borderId="16" xfId="20" applyNumberFormat="1" applyFont="1" applyFill="1" applyBorder="1" applyAlignment="1">
      <alignment horizontal="center" vertical="center"/>
      <protection/>
    </xf>
    <xf numFmtId="4" fontId="3" fillId="0" borderId="37" xfId="20" applyNumberFormat="1" applyFont="1" applyFill="1" applyBorder="1" applyAlignment="1">
      <alignment horizontal="right" vertical="center" indent="1"/>
      <protection/>
    </xf>
    <xf numFmtId="3" fontId="82" fillId="0" borderId="0" xfId="20" applyNumberFormat="1" applyFont="1" applyFill="1" applyBorder="1" applyAlignment="1">
      <alignment vertical="center"/>
      <protection/>
    </xf>
    <xf numFmtId="3" fontId="97" fillId="0" borderId="16" xfId="20" applyNumberFormat="1" applyFont="1" applyFill="1" applyBorder="1" applyAlignment="1">
      <alignment horizontal="center" vertical="center"/>
      <protection/>
    </xf>
  </cellXfs>
  <cellStyles count="2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2" xfId="20"/>
    <cellStyle name="normální_SO 101_Prelozka mestske kanalizace" xfId="21"/>
    <cellStyle name="Styl 1" xfId="22"/>
    <cellStyle name="normální_5463_04_NUC_XX01_FOT_200_Hala17_070405" xfId="23"/>
    <cellStyle name="normální_POL.XLS 2" xfId="24"/>
    <cellStyle name="normální_06_CAT_6NS01D_BQ_hall_101214" xfId="25"/>
    <cellStyle name="normální_POL.XLS_HUSINEC_BQ_121120" xfId="26"/>
    <cellStyle name="normální_GB_TB6A_SANITARY_BQ_071601_Vorac" xfId="27"/>
    <cellStyle name="normální_POL.XLS_PŮDNI VESTAVBA ZŠ_KOSTELNÍ_LHOTA_BQ_111128" xfId="28"/>
    <cellStyle name="normální_0X_AKCE_XX01_XXX_CAST_070123_Rekonstrukce hotelu_BQ_120331" xfId="29"/>
    <cellStyle name=" 1" xfId="30"/>
    <cellStyle name="_04_OP_Hala N1_6WX01-05_vod.hosp._080130" xfId="31"/>
    <cellStyle name="_04_SA_LV_6NS01_vod hosp _FOT_var.pro KROSS" xfId="32"/>
    <cellStyle name="_04_STMO_NS01_SO01-SO04_rozpocet_090313" xfId="33"/>
    <cellStyle name="_05_AGC_Bar_SO0708_WX01-02_080328" xfId="34"/>
    <cellStyle name="_05_ALU_6IK01_FOT_komunikace_071219" xfId="35"/>
    <cellStyle name="_05_ALU_6IU01_FOT_HTU_071219" xfId="36"/>
    <cellStyle name="_05_ALU_6SX01_FOT_výr monoblok_071218" xfId="37"/>
    <cellStyle name="_05_ALU_6SX02_FOT_071115_EN" xfId="38"/>
    <cellStyle name="_05_ALU_6WX01-05_FOT_WM_071127" xfId="39"/>
    <cellStyle name="_05_ALU_EW01_ext_22kV_071102" xfId="40"/>
    <cellStyle name="_05_GVB_EW_01_TP7_061207" xfId="41"/>
    <cellStyle name="_05_GVB_EW_01_TP7_061207_04_M13_SHZ_6ZX_SOUPIS VÝKONU_090514" xfId="42"/>
    <cellStyle name="_05_GVB_EY_EV_01_TP7_061201" xfId="43"/>
    <cellStyle name="_05_GVB_EY_EV_01_TP7_061201_04_M13_SHZ_6ZX_SOUPIS VÝKONU_090514" xfId="44"/>
    <cellStyle name="_06_AGC_Bar_WX0102_BQ_oceneni_wat manag _080206" xfId="45"/>
    <cellStyle name="_06_FOX_6EX11_soupis_vykonu_100205_revA" xfId="46"/>
    <cellStyle name="_06_GCZ_BQ_SO_1145" xfId="47"/>
    <cellStyle name="_06_GCZ_BQ_SO_1241_Hruba" xfId="48"/>
    <cellStyle name="_06_GCZ_BQ_SO_1242+1710_Hruba" xfId="49"/>
    <cellStyle name="_06_GCZ_BQ_SO_1510_Hruba" xfId="50"/>
    <cellStyle name="_06_GCZ_BQ_SO_1810_Hruba" xfId="51"/>
    <cellStyle name="_06_GCZ_BQ_SO_WX_061120" xfId="52"/>
    <cellStyle name="_06_GCZ_BQ_SO_WX_061207oceneni" xfId="53"/>
    <cellStyle name="_06_GVB_TP7_NS07_070105_oceneni" xfId="54"/>
    <cellStyle name="_5385_2_IPB_WX_SO 16-19_FOT_070716" xfId="55"/>
    <cellStyle name="_5385_2_IPB_WX_SO 16-19_FOT_070716_04_M13_SHZ_6ZX_SOUPIS VÝKONU_090514" xfId="56"/>
    <cellStyle name="_5411_OP_Infrastruktura_VZOR_080123" xfId="57"/>
    <cellStyle name="_5463_04_NUC_XX01_FOT_200_Hala17_070405" xfId="58"/>
    <cellStyle name="_5463_04_NUC_XX01_FOT_200_Hala17_070405_04_M13_SHZ_6ZX_SOUPIS VÝKONU_090514" xfId="59"/>
    <cellStyle name="_5559_PP_NS_vzor_070913" xfId="60"/>
    <cellStyle name="_5559_PP_NS_vzor_070913_04_M13_SHZ_6ZX_SOUPIS VÝKONU_090514" xfId="61"/>
    <cellStyle name="_5610_05_AGC_Bar_XXXX_FOT_080326" xfId="62"/>
    <cellStyle name="_5610_06_AGC_Bar_XXXX_FOT_000_vzor_080103" xfId="63"/>
    <cellStyle name="_5674 HANWHA CSSV" xfId="64"/>
    <cellStyle name="_5674_HANWHA_kan.splaskova_080619" xfId="65"/>
    <cellStyle name="_5674_HANWHA_odvodn.ploch_080609" xfId="66"/>
    <cellStyle name="_5674_HANWHA_vod.pozarni_FOT_0800609" xfId="67"/>
    <cellStyle name="_5939_ST_06_WX01_04_100901" xfId="68"/>
    <cellStyle name="_5983_HZS_ŠABLONA" xfId="69"/>
    <cellStyle name="_6110_04_HZS_Pardubice_SO 06_111023" xfId="70"/>
    <cellStyle name="_6VX01" xfId="71"/>
    <cellStyle name="_BVG TP 7_Complete_061204" xfId="72"/>
    <cellStyle name="_BVG TP 7_Complete_061204_04_M13_SHZ_6ZX_SOUPIS VÝKONU_090514" xfId="73"/>
    <cellStyle name="_ELEKTRO_01_Components_100505" xfId="74"/>
    <cellStyle name="_F6_BS_SO 01+04_6SX01" xfId="75"/>
    <cellStyle name="_FOXCONN - FoT - SO16.3_060523" xfId="76"/>
    <cellStyle name="_FOXCONN - FoT - SO16.3_060627" xfId="77"/>
    <cellStyle name="_GVB_ TP 7_6-NS07_061206 zm oc" xfId="78"/>
    <cellStyle name="_GVB_ TP 7_6-NS07_061206 zm oc_04_M13_SHZ_6ZX_SOUPIS VÝKONU_090514" xfId="79"/>
    <cellStyle name="_GVB_ TP 7_6-NS07_061207 zm" xfId="80"/>
    <cellStyle name="_GVB_ TP 7_6-NS07_061207 zm_04_M13_SHZ_6ZX_SOUPIS VÝKONU_090514" xfId="81"/>
    <cellStyle name="_GVB_ TP7_6IK01A_BQ_SO1141_070104" xfId="82"/>
    <cellStyle name="_GVB_ TP7_6IK01A_BQ_SO1141_070104_04_M13_SHZ_6ZX_SOUPIS VÝKONU_090514" xfId="83"/>
    <cellStyle name="_GVB_ TP7_NS07_rev 2_070205_ BQ" xfId="84"/>
    <cellStyle name="_GVB_ TP7_NS07_rev 2_070205_ BQ_04_M13_SHZ_6ZX_SOUPIS VÝKONU_090514" xfId="85"/>
    <cellStyle name="_GVB_ TP7_NS07_rev.1_070111ocenění" xfId="86"/>
    <cellStyle name="_GVB_ TP7_NS07_rev.1_070111ocenění_04_M13_SHZ_6ZX_SOUPIS VÝKONU_090514" xfId="87"/>
    <cellStyle name="_GVB_ TP7_NS07_rev.1_070116ocenění" xfId="88"/>
    <cellStyle name="_GVB_ TP7_NS07_rev.1_070116ocenění_04_M13_SHZ_6ZX_SOUPIS VÝKONU_090514" xfId="89"/>
    <cellStyle name="_GVB_TP7_F5_Water Treat.070223_" xfId="90"/>
    <cellStyle name="_GVB_TP7_F5_Water Treat.070223__04_M13_SHZ_6ZX_SOUPIS VÝKONU_090514" xfId="91"/>
    <cellStyle name="_GVB_TP7_F5_Water Treat.070731_" xfId="92"/>
    <cellStyle name="_GVB_TP7_F5_Water Treat.070731__04_M13_SHZ_6ZX_SOUPIS VÝKONU_090514" xfId="93"/>
    <cellStyle name="_GVP_TP 7_stoka DA3_070130 - mp" xfId="94"/>
    <cellStyle name="_H18_SO 11_ rain water drainage_071018" xfId="95"/>
    <cellStyle name="_IO 03.1_ kanalizace splašková_100209" xfId="96"/>
    <cellStyle name="_IO 03.4 Vodovod pitný_100209" xfId="97"/>
    <cellStyle name="_odhad cen_GVB_ TP 7_6-NS07_061207 zm" xfId="98"/>
    <cellStyle name="_odhad cen_GVB_ TP 7_6-NS07_061207 zm_04_M13_SHZ_6ZX_SOUPIS VÝKONU_090514" xfId="99"/>
    <cellStyle name="_odhad nákladů WX" xfId="100"/>
    <cellStyle name="_propočet kubatur šachty" xfId="101"/>
    <cellStyle name="_propočet kubatur šachty prům. 2,24 m" xfId="102"/>
    <cellStyle name="_PW-COV-061205_cz-en" xfId="103"/>
    <cellStyle name="_Rekonstrukce hotelu_BQ_120331" xfId="104"/>
    <cellStyle name="_Rekonstrukce hotelu_BQ_120331 2" xfId="105"/>
    <cellStyle name="_Rekonstrukce hotelu_BQ_120331 2 2" xfId="106"/>
    <cellStyle name="_sablony WX_070424_cz_en" xfId="107"/>
    <cellStyle name="_sablony WX_080414_cz_en" xfId="108"/>
    <cellStyle name="_SO 03_ Hala N1_kan.dest" xfId="109"/>
    <cellStyle name="_SO 03_ kanalizace splašková_100816" xfId="110"/>
    <cellStyle name="_SO 03_kanalizacni pripojky_090223" xfId="111"/>
    <cellStyle name="_SO 03_retenční nádrž" xfId="112"/>
    <cellStyle name="_SO 03_Vytlak SV_090331" xfId="113"/>
    <cellStyle name="_SO 04_ Hala E_kanaliz. splas" xfId="114"/>
    <cellStyle name="_SO 05 vodovod pitny_100913" xfId="115"/>
    <cellStyle name="_SO 05_F6_rain wat drain.060531" xfId="116"/>
    <cellStyle name="_SO 05_F6_rain wat drain.060531_04_M13_SHZ_6ZX_SOUPIS VÝKONU_090514" xfId="117"/>
    <cellStyle name="_SO 10.1 Vodovod pitný_071123" xfId="118"/>
    <cellStyle name="_SO 10.2_požární vodovod_071122" xfId="119"/>
    <cellStyle name="_SO 10.3_kanalizace splašková_071123" xfId="120"/>
    <cellStyle name="_SO 10.4_ rain water drainage_071108" xfId="121"/>
    <cellStyle name="_SO 10.4_ rain water drainage_071123" xfId="122"/>
    <cellStyle name="_SO 102_Prelozka nahonu ricni vody" xfId="123"/>
    <cellStyle name="_SO 107_ Uprava destove kanalizace" xfId="124"/>
    <cellStyle name="_SO 11_ rain water drainage_070424" xfId="125"/>
    <cellStyle name="_SO 11_ rain water drainage_080211" xfId="126"/>
    <cellStyle name="_SO 14 vodovod pitný_080212" xfId="127"/>
    <cellStyle name="_SO 15_fire water pipeline_070413" xfId="128"/>
    <cellStyle name="_SO 15_Vodovod pitny_081013" xfId="129"/>
    <cellStyle name="_SO 16_6VX01_vzduchotechnika" xfId="130"/>
    <cellStyle name="_SO 17_ přípojka splašk.kanalizace" xfId="131"/>
    <cellStyle name="_SO 17_kanalizace splašková_080929" xfId="132"/>
    <cellStyle name="_SO 18_ příp. dešť.kan._zmeny 070820" xfId="133"/>
    <cellStyle name="_SO 18_ přípojka dešť.kanalizace" xfId="134"/>
    <cellStyle name="_SO 20 Rozvod pitné vody v areálu" xfId="135"/>
    <cellStyle name="_SO 201 2_PS_Demivoda_PS_ CPSOV_100416_Opravené" xfId="136"/>
    <cellStyle name="_SO 21_kanalizace splašková_070807" xfId="137"/>
    <cellStyle name="_SO 22_ kanalizace destova v arealu" xfId="138"/>
    <cellStyle name="_SO 22_ kanalizace destova v arealu_04_M13_SHZ_6ZX_SOUPIS VÝKONU_090514" xfId="139"/>
    <cellStyle name="_SO 23 retencni nadrž" xfId="140"/>
    <cellStyle name="_SO 35 Zasakovací RDN" xfId="141"/>
    <cellStyle name="_SO 363_fire water supply_rev.1_070116" xfId="142"/>
    <cellStyle name="_SO 399.1,2_sewerage" xfId="143"/>
    <cellStyle name="_SO 399.1,2_sewerage_F5_070221" xfId="144"/>
    <cellStyle name="_SO 399.1,2_sewerage_F5_zmeny k 070730" xfId="145"/>
    <cellStyle name="_SO 399.1,2_sewerage_rev.1_070108" xfId="146"/>
    <cellStyle name="_SO 399.3 Roads of drainage_rev.1_070111" xfId="147"/>
    <cellStyle name="_SO 399.3 Roads of drainage_zmeny k_070731" xfId="148"/>
    <cellStyle name="_SO_1124_Retention pond_zmena_B_ 070202" xfId="149"/>
    <cellStyle name="_TI_SO 01_060301_cz_en" xfId="150"/>
    <cellStyle name="_TI_SO 01_060301_cz_en_04_M13_SHZ_6ZX_SOUPIS VÝKONU_090514" xfId="151"/>
    <cellStyle name="_ZF Engineering 1.NP_VV" xfId="152"/>
    <cellStyle name="_ZF Engineering 2.NP_VV" xfId="153"/>
    <cellStyle name="_ZF Engineering 7.NP_VV" xfId="154"/>
    <cellStyle name="20 % - zvýraznenie1" xfId="155"/>
    <cellStyle name="20 % - zvýraznenie2" xfId="156"/>
    <cellStyle name="20 % - zvýraznenie3" xfId="157"/>
    <cellStyle name="20 % - zvýraznenie4" xfId="158"/>
    <cellStyle name="20 % - zvýraznenie5" xfId="159"/>
    <cellStyle name="20 % - zvýraznenie6" xfId="160"/>
    <cellStyle name="20% - Accent1" xfId="161"/>
    <cellStyle name="20% - Accent2" xfId="162"/>
    <cellStyle name="20% - Accent3" xfId="163"/>
    <cellStyle name="20% - Accent4" xfId="164"/>
    <cellStyle name="20% - Accent5" xfId="165"/>
    <cellStyle name="20% - Accent6" xfId="166"/>
    <cellStyle name="40 % - zvýraznenie1" xfId="167"/>
    <cellStyle name="40 % - zvýraznenie2" xfId="168"/>
    <cellStyle name="40 % - zvýraznenie3" xfId="169"/>
    <cellStyle name="40 % - zvýraznenie4" xfId="170"/>
    <cellStyle name="40 % - zvýraznenie5" xfId="171"/>
    <cellStyle name="40 % - zvýraznenie6" xfId="172"/>
    <cellStyle name="40% - Accent1" xfId="173"/>
    <cellStyle name="40% - Accent2" xfId="174"/>
    <cellStyle name="40% - Accent3" xfId="175"/>
    <cellStyle name="40% - Accent4" xfId="176"/>
    <cellStyle name="40% - Accent5" xfId="177"/>
    <cellStyle name="40% - Accent6" xfId="178"/>
    <cellStyle name="60 % - zvýraznenie1" xfId="179"/>
    <cellStyle name="60 % - zvýraznenie2" xfId="180"/>
    <cellStyle name="60 % - zvýraznenie3" xfId="181"/>
    <cellStyle name="60 % - zvýraznenie4" xfId="182"/>
    <cellStyle name="60 % - zvýraznenie5" xfId="183"/>
    <cellStyle name="60 % - zvýraznenie6" xfId="184"/>
    <cellStyle name="60% - Accent1" xfId="185"/>
    <cellStyle name="60% - Accent2" xfId="186"/>
    <cellStyle name="60% - Accent3" xfId="187"/>
    <cellStyle name="60% - Accent4" xfId="188"/>
    <cellStyle name="60% - Accent5" xfId="189"/>
    <cellStyle name="60% - Accent6" xfId="190"/>
    <cellStyle name="Accent1" xfId="191"/>
    <cellStyle name="Accent2" xfId="192"/>
    <cellStyle name="Accent3" xfId="193"/>
    <cellStyle name="Accent4" xfId="194"/>
    <cellStyle name="Accent5" xfId="195"/>
    <cellStyle name="Accent6" xfId="196"/>
    <cellStyle name="Bad" xfId="197"/>
    <cellStyle name="Calculation" xfId="198"/>
    <cellStyle name="Comma [0]_3-Projekt" xfId="199"/>
    <cellStyle name="Comma_3-Projekt" xfId="200"/>
    <cellStyle name="Currency [0]_3-Projekt" xfId="201"/>
    <cellStyle name="Currency_3-Projekt" xfId="202"/>
    <cellStyle name="Dobrá" xfId="203"/>
    <cellStyle name="Excel Built-in Normal" xfId="204"/>
    <cellStyle name="Excel_BuiltIn_Poznámka 1" xfId="205"/>
    <cellStyle name="Explanatory Text" xfId="206"/>
    <cellStyle name="fnRegressQ" xfId="207"/>
    <cellStyle name="fnRegressQ 2" xfId="208"/>
    <cellStyle name="fnRegressQ 2 2" xfId="209"/>
    <cellStyle name="fnRegressQ_05_ERA_SO02_02_IK_BQ_140910" xfId="210"/>
    <cellStyle name="Good" xfId="211"/>
    <cellStyle name="Heading 1" xfId="212"/>
    <cellStyle name="Heading 2" xfId="213"/>
    <cellStyle name="Heading 3" xfId="214"/>
    <cellStyle name="Heading 4" xfId="215"/>
    <cellStyle name="hlavicka" xfId="216"/>
    <cellStyle name="hlavickatucne" xfId="217"/>
    <cellStyle name="hlavickatucnecentrum" xfId="218"/>
    <cellStyle name="Check Cell" xfId="219"/>
    <cellStyle name="Input" xfId="220"/>
    <cellStyle name="kolonky" xfId="221"/>
    <cellStyle name="Kontrolná bunka" xfId="222"/>
    <cellStyle name="Linked Cell" xfId="223"/>
    <cellStyle name="Neutral" xfId="224"/>
    <cellStyle name="Neutrálna" xfId="225"/>
    <cellStyle name="Normal_10" xfId="226"/>
    <cellStyle name="normálne 2" xfId="227"/>
    <cellStyle name="normálne 2 2" xfId="228"/>
    <cellStyle name="normálne 3" xfId="229"/>
    <cellStyle name="normálne 3 2" xfId="230"/>
    <cellStyle name="normálne 4" xfId="231"/>
    <cellStyle name="normálne 4 2" xfId="232"/>
    <cellStyle name="normálne 5" xfId="233"/>
    <cellStyle name="normálne 5 2" xfId="234"/>
    <cellStyle name="normálne 6" xfId="235"/>
    <cellStyle name="normálne 6 2" xfId="236"/>
    <cellStyle name="normální 10" xfId="237"/>
    <cellStyle name="normální 11" xfId="238"/>
    <cellStyle name="normální 13" xfId="239"/>
    <cellStyle name="normální 14" xfId="240"/>
    <cellStyle name="Normální 15" xfId="241"/>
    <cellStyle name="normální 2" xfId="242"/>
    <cellStyle name="normální 2 2" xfId="243"/>
    <cellStyle name="normální 2 2 10" xfId="244"/>
    <cellStyle name="normální 2 2 10 2" xfId="245"/>
    <cellStyle name="normální 2 2 2" xfId="246"/>
    <cellStyle name="normální 2 2 2 2" xfId="247"/>
    <cellStyle name="normální 2 2_05_ERA_SO02_02_IK_BQ_140910" xfId="248"/>
    <cellStyle name="normální 2 3 2 2" xfId="249"/>
    <cellStyle name="normální 2 3 2 2 2" xfId="250"/>
    <cellStyle name="normální 2_05_ERA_SO02_02_IK_BQ_140910" xfId="251"/>
    <cellStyle name="normální 3" xfId="252"/>
    <cellStyle name="normální 3 2" xfId="253"/>
    <cellStyle name="normální 3 2 2" xfId="254"/>
    <cellStyle name="normální 3 2 2 2" xfId="255"/>
    <cellStyle name="normální 3 2 3" xfId="256"/>
    <cellStyle name="normální 3 2_6258_SO07_SO10_SO11_vodari_131217" xfId="257"/>
    <cellStyle name="normální 3 3" xfId="258"/>
    <cellStyle name="normální 3 3 2" xfId="259"/>
    <cellStyle name="normální 3 4" xfId="260"/>
    <cellStyle name="normální 3_05_SO16_6NS002C_140318" xfId="261"/>
    <cellStyle name="normální 4" xfId="262"/>
    <cellStyle name="normální 4 2" xfId="263"/>
    <cellStyle name="normální 4 3" xfId="264"/>
    <cellStyle name="normální 4 4" xfId="265"/>
    <cellStyle name="normální 4_05_ERA_SO02_02_IK_BQ_140910" xfId="266"/>
    <cellStyle name="normální 5" xfId="267"/>
    <cellStyle name="normální 6" xfId="268"/>
    <cellStyle name="normální 6 2" xfId="269"/>
    <cellStyle name="normální 6_05_SO16_6NS002C_140318" xfId="270"/>
    <cellStyle name="normální 7" xfId="271"/>
    <cellStyle name="normální 8" xfId="272"/>
    <cellStyle name="normální 9" xfId="273"/>
    <cellStyle name="normální_06_CAT_6NS01D_BQ_hall_101214 2" xfId="274"/>
    <cellStyle name="normální_6WX01" xfId="275"/>
    <cellStyle name="normální_POL.XLS" xfId="276"/>
    <cellStyle name="Note" xfId="277"/>
    <cellStyle name="Note 2" xfId="278"/>
    <cellStyle name="Output" xfId="279"/>
    <cellStyle name="podpolozka" xfId="280"/>
    <cellStyle name="políčka" xfId="281"/>
    <cellStyle name="popis polozky" xfId="282"/>
    <cellStyle name="Prepojená bunka" xfId="283"/>
    <cellStyle name="procent 3" xfId="284"/>
    <cellStyle name="Spolu" xfId="285"/>
    <cellStyle name="Standard_--&gt;2-1" xfId="286"/>
    <cellStyle name="Styl 1 4" xfId="287"/>
    <cellStyle name="Styl 1_STAVBA_ROZPOČET_ESET_BQ_130425" xfId="288"/>
    <cellStyle name="Style 1" xfId="289"/>
    <cellStyle name="Štýl 1" xfId="290"/>
    <cellStyle name="text" xfId="291"/>
    <cellStyle name="Text upozornenia" xfId="292"/>
    <cellStyle name="textcentrum" xfId="293"/>
    <cellStyle name="texttucne" xfId="294"/>
    <cellStyle name="Title" xfId="295"/>
    <cellStyle name="Titul" xfId="296"/>
    <cellStyle name="Total" xfId="297"/>
    <cellStyle name="TucneGrayBack" xfId="298"/>
    <cellStyle name="TucneGreenBack" xfId="299"/>
    <cellStyle name="Vysvetľujúci text" xfId="300"/>
    <cellStyle name="Warning Text" xfId="301"/>
    <cellStyle name="Zlá" xfId="302"/>
    <cellStyle name="Zvýraznenie1" xfId="303"/>
    <cellStyle name="Zvýraznenie2" xfId="304"/>
    <cellStyle name="Zvýraznenie3" xfId="305"/>
    <cellStyle name="Zvýraznenie4" xfId="306"/>
    <cellStyle name="Zvýraznenie5" xfId="307"/>
    <cellStyle name="Zvýraznenie6" xfId="308"/>
    <cellStyle name="標準 12 2" xfId="309"/>
    <cellStyle name="標準 12 2 2" xfId="310"/>
    <cellStyle name="標準_031007Drawing schedule" xfId="3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125"/>
  <sheetViews>
    <sheetView showGridLines="0" tabSelected="1" view="pageBreakPreview" zoomScaleSheetLayoutView="100" workbookViewId="0" topLeftCell="A1">
      <selection activeCell="D5" sqref="D5"/>
    </sheetView>
  </sheetViews>
  <sheetFormatPr defaultColWidth="9.140625" defaultRowHeight="12.75"/>
  <cols>
    <col min="1" max="1" width="13.7109375" style="509" customWidth="1"/>
    <col min="2" max="2" width="69.28125" style="509" customWidth="1"/>
    <col min="3" max="3" width="14.57421875" style="104" customWidth="1"/>
    <col min="4" max="4" width="18.57421875" style="104" customWidth="1"/>
    <col min="5" max="5" width="18.140625" style="516" customWidth="1"/>
    <col min="6" max="6" width="26.7109375" style="517" customWidth="1"/>
    <col min="7" max="7" width="19.7109375" style="514" customWidth="1"/>
    <col min="8" max="8" width="16.28125" style="105" customWidth="1"/>
    <col min="9" max="16384" width="9.140625" style="104" customWidth="1"/>
  </cols>
  <sheetData>
    <row r="1" spans="1:19" s="99" customFormat="1" ht="46.5" customHeight="1">
      <c r="A1" s="95" t="s">
        <v>0</v>
      </c>
      <c r="B1" s="409" t="s">
        <v>102</v>
      </c>
      <c r="C1" s="96"/>
      <c r="D1" s="97" t="s">
        <v>1</v>
      </c>
      <c r="E1" s="410"/>
      <c r="F1" s="411"/>
      <c r="G1" s="411"/>
      <c r="H1" s="412"/>
      <c r="I1" s="413"/>
      <c r="J1" s="414"/>
      <c r="K1" s="415"/>
      <c r="L1" s="416"/>
      <c r="M1" s="416"/>
      <c r="N1" s="416"/>
      <c r="O1" s="417"/>
      <c r="P1" s="417"/>
      <c r="Q1" s="417"/>
      <c r="R1" s="417"/>
      <c r="S1" s="417"/>
    </row>
    <row r="2" spans="1:19" ht="49.5" customHeight="1">
      <c r="A2" s="101" t="s">
        <v>2</v>
      </c>
      <c r="B2" s="520" t="s">
        <v>103</v>
      </c>
      <c r="C2" s="102"/>
      <c r="D2" s="103" t="s">
        <v>3</v>
      </c>
      <c r="E2" s="418"/>
      <c r="F2" s="419"/>
      <c r="G2" s="419"/>
      <c r="H2" s="420"/>
      <c r="I2" s="421"/>
      <c r="J2" s="422"/>
      <c r="K2" s="423"/>
      <c r="L2" s="424"/>
      <c r="M2" s="424"/>
      <c r="N2" s="424"/>
      <c r="O2" s="425"/>
      <c r="P2" s="425"/>
      <c r="Q2" s="425"/>
      <c r="R2" s="425"/>
      <c r="S2" s="425"/>
    </row>
    <row r="3" spans="1:19" s="106" customFormat="1" ht="51" customHeight="1">
      <c r="A3" s="101" t="s">
        <v>4</v>
      </c>
      <c r="B3" s="657" t="s">
        <v>178</v>
      </c>
      <c r="C3" s="658"/>
      <c r="D3" s="1" t="s">
        <v>237</v>
      </c>
      <c r="E3" s="426"/>
      <c r="F3" s="427" t="s">
        <v>85</v>
      </c>
      <c r="G3" s="428"/>
      <c r="H3" s="429"/>
      <c r="I3" s="430"/>
      <c r="J3" s="414"/>
      <c r="K3" s="415"/>
      <c r="L3" s="431"/>
      <c r="M3" s="431"/>
      <c r="N3" s="431"/>
      <c r="O3" s="432"/>
      <c r="P3" s="432"/>
      <c r="Q3" s="432"/>
      <c r="R3" s="432"/>
      <c r="S3" s="432"/>
    </row>
    <row r="4" spans="1:7" ht="30" customHeight="1" thickBot="1">
      <c r="A4" s="433"/>
      <c r="B4" s="434" t="s">
        <v>86</v>
      </c>
      <c r="C4" s="435"/>
      <c r="D4" s="436"/>
      <c r="E4" s="426"/>
      <c r="F4" s="104"/>
      <c r="G4" s="104"/>
    </row>
    <row r="5" spans="1:8" s="442" customFormat="1" ht="33" customHeight="1" thickBot="1">
      <c r="A5" s="437" t="s">
        <v>87</v>
      </c>
      <c r="B5" s="438" t="s">
        <v>88</v>
      </c>
      <c r="C5" s="439" t="s">
        <v>89</v>
      </c>
      <c r="D5" s="440" t="s">
        <v>90</v>
      </c>
      <c r="E5" s="441"/>
      <c r="H5" s="443"/>
    </row>
    <row r="6" spans="1:8" s="442" customFormat="1" ht="18" customHeight="1" thickBot="1" thickTop="1">
      <c r="A6" s="444"/>
      <c r="B6" s="445"/>
      <c r="C6" s="446"/>
      <c r="D6" s="447"/>
      <c r="E6" s="448"/>
      <c r="F6" s="449"/>
      <c r="H6" s="443"/>
    </row>
    <row r="7" spans="1:8" s="210" customFormat="1" ht="23.25" customHeight="1" thickBot="1">
      <c r="A7" s="450"/>
      <c r="B7" s="451" t="s">
        <v>91</v>
      </c>
      <c r="C7" s="452"/>
      <c r="D7" s="453"/>
      <c r="E7" s="454"/>
      <c r="F7" s="455"/>
      <c r="H7" s="211"/>
    </row>
    <row r="8" spans="1:8" s="458" customFormat="1" ht="12.75">
      <c r="A8" s="575"/>
      <c r="B8" s="576"/>
      <c r="C8" s="577"/>
      <c r="D8" s="578"/>
      <c r="E8" s="456"/>
      <c r="F8" s="457"/>
      <c r="H8" s="459"/>
    </row>
    <row r="9" spans="1:8" s="458" customFormat="1" ht="20.25" customHeight="1">
      <c r="A9" s="579" t="s">
        <v>621</v>
      </c>
      <c r="B9" s="580" t="str">
        <f>GABIONY_beton_dlažba!C4</f>
        <v>Zpevněné plochy, gabiony, schodiště</v>
      </c>
      <c r="C9" s="581"/>
      <c r="D9" s="603">
        <f>GABIONY_beton_dlažba!G21</f>
        <v>0</v>
      </c>
      <c r="E9" s="456"/>
      <c r="F9" s="457"/>
      <c r="H9" s="459"/>
    </row>
    <row r="10" spans="1:8" s="171" customFormat="1" ht="18" customHeight="1">
      <c r="A10" s="163" t="s">
        <v>615</v>
      </c>
      <c r="B10" s="580" t="str">
        <f>rampa_lekarna!C4</f>
        <v>Přístupová rampa - lékárna</v>
      </c>
      <c r="C10" s="582"/>
      <c r="D10" s="165">
        <f>rampa_lekarna!G24</f>
        <v>0</v>
      </c>
      <c r="E10" s="345"/>
      <c r="F10" s="346"/>
      <c r="H10" s="172"/>
    </row>
    <row r="11" spans="1:8" s="171" customFormat="1" ht="18" customHeight="1">
      <c r="A11" s="163" t="s">
        <v>616</v>
      </c>
      <c r="B11" s="604" t="str">
        <f>rampa_propojovací!C4</f>
        <v xml:space="preserve">Propojovací rampa </v>
      </c>
      <c r="C11" s="582"/>
      <c r="D11" s="165">
        <f>rampa_propojovací!G23</f>
        <v>0</v>
      </c>
      <c r="E11" s="345"/>
      <c r="F11" s="346"/>
      <c r="H11" s="172"/>
    </row>
    <row r="12" spans="1:8" s="458" customFormat="1" ht="20.25" customHeight="1">
      <c r="A12" s="579" t="s">
        <v>617</v>
      </c>
      <c r="B12" s="580" t="str">
        <f>stěna_lekarny!C4</f>
        <v>Úprava štítové stěny lékárny</v>
      </c>
      <c r="C12" s="581"/>
      <c r="D12" s="603">
        <f>stěna_lekarny!G19</f>
        <v>0</v>
      </c>
      <c r="E12" s="456"/>
      <c r="F12" s="457"/>
      <c r="H12" s="459"/>
    </row>
    <row r="13" spans="1:8" s="171" customFormat="1" ht="18" customHeight="1">
      <c r="A13" s="163" t="s">
        <v>610</v>
      </c>
      <c r="B13" s="604" t="str">
        <f>mobiliář!C4</f>
        <v>Mobiliář</v>
      </c>
      <c r="C13" s="582"/>
      <c r="D13" s="165">
        <f>mobiliář!G17</f>
        <v>0</v>
      </c>
      <c r="E13" s="345"/>
      <c r="F13" s="346"/>
      <c r="H13" s="172"/>
    </row>
    <row r="14" spans="1:8" s="171" customFormat="1" ht="18" customHeight="1">
      <c r="A14" s="163" t="s">
        <v>622</v>
      </c>
      <c r="B14" s="604" t="str">
        <f>prelozka!C4</f>
        <v>Přeložka distribuční sítě elektro NN</v>
      </c>
      <c r="C14" s="582"/>
      <c r="D14" s="165">
        <f>prelozka!G17</f>
        <v>0</v>
      </c>
      <c r="E14" s="345"/>
      <c r="F14" s="346"/>
      <c r="H14" s="172"/>
    </row>
    <row r="15" spans="1:8" s="171" customFormat="1" ht="18" customHeight="1">
      <c r="A15" s="163" t="s">
        <v>618</v>
      </c>
      <c r="B15" s="604" t="str">
        <f>'veřejné osvětlení'!C4</f>
        <v>Veřejné osvětlení</v>
      </c>
      <c r="C15" s="582"/>
      <c r="D15" s="165">
        <f>'veřejné osvětlení'!G20</f>
        <v>0</v>
      </c>
      <c r="E15" s="345"/>
      <c r="F15" s="346"/>
      <c r="H15" s="172"/>
    </row>
    <row r="16" spans="1:8" s="171" customFormat="1" ht="18" customHeight="1">
      <c r="A16" s="163" t="s">
        <v>620</v>
      </c>
      <c r="B16" s="604" t="str">
        <f>sadove_upravy!C4</f>
        <v>Sadové úpravy</v>
      </c>
      <c r="C16" s="582"/>
      <c r="D16" s="165">
        <f>sadove_upravy!G22</f>
        <v>0</v>
      </c>
      <c r="E16" s="345"/>
      <c r="F16" s="346"/>
      <c r="H16" s="172"/>
    </row>
    <row r="17" spans="1:8" s="171" customFormat="1" ht="18" customHeight="1">
      <c r="A17" s="163" t="s">
        <v>619</v>
      </c>
      <c r="B17" s="604" t="str">
        <f>závlaha!C4</f>
        <v>Závlahový systém</v>
      </c>
      <c r="C17" s="582"/>
      <c r="D17" s="165">
        <f>závlaha!G22</f>
        <v>0</v>
      </c>
      <c r="E17" s="345"/>
      <c r="F17" s="346"/>
      <c r="H17" s="172"/>
    </row>
    <row r="18" spans="1:8" s="171" customFormat="1" ht="18" customHeight="1">
      <c r="A18" s="163"/>
      <c r="B18" s="604"/>
      <c r="C18" s="582"/>
      <c r="D18" s="165"/>
      <c r="E18" s="345"/>
      <c r="F18" s="346"/>
      <c r="H18" s="172"/>
    </row>
    <row r="19" spans="1:8" s="171" customFormat="1" ht="18" customHeight="1">
      <c r="A19" s="163"/>
      <c r="B19" s="604"/>
      <c r="C19" s="582"/>
      <c r="D19" s="165"/>
      <c r="E19" s="345"/>
      <c r="F19" s="346"/>
      <c r="H19" s="172"/>
    </row>
    <row r="20" spans="1:8" s="171" customFormat="1" ht="18" customHeight="1" thickBot="1">
      <c r="A20" s="270"/>
      <c r="B20" s="583"/>
      <c r="C20" s="584"/>
      <c r="D20" s="585"/>
      <c r="E20" s="345"/>
      <c r="F20" s="346"/>
      <c r="H20" s="172"/>
    </row>
    <row r="21" spans="1:14" s="210" customFormat="1" ht="18" customHeight="1" thickBot="1">
      <c r="A21" s="450"/>
      <c r="B21" s="451" t="s">
        <v>92</v>
      </c>
      <c r="C21" s="460"/>
      <c r="D21" s="461">
        <f>SUBTOTAL(9,D8:D20)</f>
        <v>0</v>
      </c>
      <c r="E21" s="454"/>
      <c r="F21" s="455"/>
      <c r="G21" s="462"/>
      <c r="H21" s="100"/>
      <c r="I21" s="99"/>
      <c r="J21" s="99"/>
      <c r="K21" s="99"/>
      <c r="L21" s="99"/>
      <c r="M21" s="99"/>
      <c r="N21" s="99"/>
    </row>
    <row r="22" spans="1:8" s="99" customFormat="1" ht="12.75">
      <c r="A22" s="463"/>
      <c r="B22" s="464"/>
      <c r="C22" s="465"/>
      <c r="D22" s="362"/>
      <c r="E22" s="466"/>
      <c r="F22" s="467"/>
      <c r="G22" s="462"/>
      <c r="H22" s="100"/>
    </row>
    <row r="23" spans="1:8" s="171" customFormat="1" ht="17.25" customHeight="1">
      <c r="A23" s="664"/>
      <c r="B23" s="665" t="s">
        <v>1030</v>
      </c>
      <c r="C23" s="666"/>
      <c r="D23" s="667">
        <f>C23*D21</f>
        <v>0</v>
      </c>
      <c r="E23" s="345"/>
      <c r="F23" s="346"/>
      <c r="G23" s="668"/>
      <c r="H23" s="172"/>
    </row>
    <row r="24" spans="1:8" s="171" customFormat="1" ht="16.5" customHeight="1">
      <c r="A24" s="664"/>
      <c r="B24" s="343" t="s">
        <v>1031</v>
      </c>
      <c r="C24" s="669"/>
      <c r="D24" s="667">
        <v>0</v>
      </c>
      <c r="E24" s="345"/>
      <c r="F24" s="346"/>
      <c r="G24" s="668"/>
      <c r="H24" s="172"/>
    </row>
    <row r="25" spans="1:8" s="171" customFormat="1" ht="16.5" customHeight="1">
      <c r="A25" s="664"/>
      <c r="B25" s="343" t="s">
        <v>1032</v>
      </c>
      <c r="C25" s="669"/>
      <c r="D25" s="667">
        <v>0</v>
      </c>
      <c r="E25" s="345"/>
      <c r="F25" s="346"/>
      <c r="G25" s="668"/>
      <c r="H25" s="172"/>
    </row>
    <row r="26" spans="1:8" s="171" customFormat="1" ht="35.25" customHeight="1">
      <c r="A26" s="664"/>
      <c r="B26" s="343" t="s">
        <v>66</v>
      </c>
      <c r="C26" s="669"/>
      <c r="D26" s="667">
        <v>0</v>
      </c>
      <c r="E26" s="345"/>
      <c r="F26" s="346"/>
      <c r="G26" s="668"/>
      <c r="H26" s="172"/>
    </row>
    <row r="27" spans="1:8" s="99" customFormat="1" ht="18" customHeight="1">
      <c r="A27" s="469"/>
      <c r="B27" s="470"/>
      <c r="C27" s="471"/>
      <c r="D27" s="342"/>
      <c r="E27" s="466"/>
      <c r="F27" s="467"/>
      <c r="G27" s="472"/>
      <c r="H27" s="100"/>
    </row>
    <row r="28" spans="1:10" s="210" customFormat="1" ht="12.75">
      <c r="A28" s="473"/>
      <c r="B28" s="474" t="s">
        <v>93</v>
      </c>
      <c r="C28" s="475"/>
      <c r="D28" s="476">
        <f>SUM(D22:D26)</f>
        <v>0</v>
      </c>
      <c r="E28" s="454"/>
      <c r="F28" s="455"/>
      <c r="H28" s="105"/>
      <c r="I28" s="104"/>
      <c r="J28" s="104"/>
    </row>
    <row r="29" spans="1:10" s="99" customFormat="1" ht="18" customHeight="1">
      <c r="A29" s="469"/>
      <c r="B29" s="470"/>
      <c r="C29" s="150"/>
      <c r="D29" s="342"/>
      <c r="E29" s="466"/>
      <c r="F29" s="467"/>
      <c r="G29" s="104"/>
      <c r="H29" s="105"/>
      <c r="I29" s="104"/>
      <c r="J29" s="104"/>
    </row>
    <row r="30" spans="1:10" s="210" customFormat="1" ht="12.75">
      <c r="A30" s="477"/>
      <c r="B30" s="478" t="s">
        <v>94</v>
      </c>
      <c r="C30" s="479"/>
      <c r="D30" s="480">
        <f>D21+D28</f>
        <v>0</v>
      </c>
      <c r="E30" s="454"/>
      <c r="F30" s="455"/>
      <c r="G30" s="104"/>
      <c r="H30" s="105"/>
      <c r="I30" s="104"/>
      <c r="J30" s="104"/>
    </row>
    <row r="31" spans="1:10" s="99" customFormat="1" ht="18" customHeight="1">
      <c r="A31" s="469"/>
      <c r="B31" s="470"/>
      <c r="C31" s="150"/>
      <c r="D31" s="342"/>
      <c r="E31" s="466"/>
      <c r="F31" s="467"/>
      <c r="G31" s="104"/>
      <c r="H31" s="105"/>
      <c r="I31" s="104"/>
      <c r="J31" s="104"/>
    </row>
    <row r="32" spans="1:14" s="210" customFormat="1" ht="12.75">
      <c r="A32" s="481"/>
      <c r="B32" s="482" t="s">
        <v>95</v>
      </c>
      <c r="C32" s="483"/>
      <c r="D32" s="484">
        <f>D30*0.21</f>
        <v>0</v>
      </c>
      <c r="E32" s="454"/>
      <c r="F32" s="455"/>
      <c r="H32" s="105"/>
      <c r="I32" s="104"/>
      <c r="J32" s="104"/>
      <c r="K32" s="104"/>
      <c r="L32" s="104"/>
      <c r="M32" s="104"/>
      <c r="N32" s="104"/>
    </row>
    <row r="33" spans="1:14" s="99" customFormat="1" ht="18" customHeight="1">
      <c r="A33" s="469"/>
      <c r="B33" s="470"/>
      <c r="C33" s="485"/>
      <c r="D33" s="342"/>
      <c r="E33" s="466"/>
      <c r="F33" s="486"/>
      <c r="H33" s="105"/>
      <c r="I33" s="104"/>
      <c r="J33" s="104"/>
      <c r="K33" s="104"/>
      <c r="L33" s="104"/>
      <c r="M33" s="104"/>
      <c r="N33" s="104"/>
    </row>
    <row r="34" spans="1:14" s="210" customFormat="1" ht="18" customHeight="1">
      <c r="A34" s="487"/>
      <c r="B34" s="488" t="s">
        <v>96</v>
      </c>
      <c r="C34" s="489"/>
      <c r="D34" s="490">
        <f>D30+D32</f>
        <v>0</v>
      </c>
      <c r="E34" s="454"/>
      <c r="F34" s="455"/>
      <c r="H34" s="105"/>
      <c r="I34" s="104"/>
      <c r="J34" s="104"/>
      <c r="K34" s="104"/>
      <c r="L34" s="104"/>
      <c r="M34" s="104"/>
      <c r="N34" s="104"/>
    </row>
    <row r="35" spans="1:14" s="99" customFormat="1" ht="18" customHeight="1" thickBot="1">
      <c r="A35" s="491"/>
      <c r="B35" s="343"/>
      <c r="C35" s="468"/>
      <c r="D35" s="374"/>
      <c r="E35" s="466"/>
      <c r="F35" s="467"/>
      <c r="H35" s="100"/>
      <c r="J35" s="104"/>
      <c r="K35" s="104"/>
      <c r="L35" s="104"/>
      <c r="M35" s="104"/>
      <c r="N35" s="104"/>
    </row>
    <row r="36" spans="1:14" s="99" customFormat="1" ht="13.5" thickBot="1">
      <c r="A36" s="492"/>
      <c r="B36" s="493"/>
      <c r="C36" s="493"/>
      <c r="D36" s="494"/>
      <c r="E36" s="466"/>
      <c r="F36" s="467"/>
      <c r="H36" s="100"/>
      <c r="J36" s="104"/>
      <c r="K36" s="104"/>
      <c r="L36" s="104"/>
      <c r="M36" s="104"/>
      <c r="N36" s="104"/>
    </row>
    <row r="37" spans="1:14" s="99" customFormat="1" ht="26.25" customHeight="1">
      <c r="A37" s="495"/>
      <c r="B37" s="659"/>
      <c r="C37" s="659"/>
      <c r="D37" s="660"/>
      <c r="E37" s="466"/>
      <c r="F37" s="467"/>
      <c r="H37" s="105"/>
      <c r="I37" s="104"/>
      <c r="J37" s="104"/>
      <c r="K37" s="104"/>
      <c r="L37" s="104"/>
      <c r="M37" s="104"/>
      <c r="N37" s="104"/>
    </row>
    <row r="38" spans="1:14" s="99" customFormat="1" ht="24" customHeight="1">
      <c r="A38" s="496"/>
      <c r="B38" s="661"/>
      <c r="C38" s="661"/>
      <c r="D38" s="662"/>
      <c r="E38" s="466"/>
      <c r="F38" s="467"/>
      <c r="H38" s="105"/>
      <c r="I38" s="104"/>
      <c r="J38" s="104"/>
      <c r="K38" s="104"/>
      <c r="L38" s="104"/>
      <c r="M38" s="104"/>
      <c r="N38" s="104"/>
    </row>
    <row r="39" spans="1:14" s="99" customFormat="1" ht="16.5" customHeight="1" thickBot="1">
      <c r="A39" s="496"/>
      <c r="B39" s="497"/>
      <c r="C39" s="498"/>
      <c r="D39" s="499"/>
      <c r="E39" s="466"/>
      <c r="F39" s="467"/>
      <c r="H39" s="105"/>
      <c r="I39" s="104"/>
      <c r="J39" s="104"/>
      <c r="K39" s="104"/>
      <c r="L39" s="104"/>
      <c r="M39" s="104"/>
      <c r="N39" s="104"/>
    </row>
    <row r="40" spans="1:14" s="99" customFormat="1" ht="34.5" customHeight="1">
      <c r="A40" s="496"/>
      <c r="B40" s="500" t="s">
        <v>97</v>
      </c>
      <c r="C40" s="501"/>
      <c r="D40" s="502"/>
      <c r="E40" s="466"/>
      <c r="F40" s="467"/>
      <c r="H40" s="105"/>
      <c r="I40" s="104"/>
      <c r="J40" s="104"/>
      <c r="K40" s="104"/>
      <c r="L40" s="104"/>
      <c r="M40" s="104"/>
      <c r="N40" s="104"/>
    </row>
    <row r="41" spans="1:14" s="99" customFormat="1" ht="17.45" customHeight="1">
      <c r="A41" s="496"/>
      <c r="B41" s="500" t="s">
        <v>98</v>
      </c>
      <c r="C41" s="503"/>
      <c r="D41" s="504"/>
      <c r="E41" s="466"/>
      <c r="F41" s="467"/>
      <c r="H41" s="105"/>
      <c r="I41" s="104"/>
      <c r="J41" s="104"/>
      <c r="K41" s="104"/>
      <c r="L41" s="104"/>
      <c r="M41" s="104"/>
      <c r="N41" s="104"/>
    </row>
    <row r="42" spans="1:14" s="99" customFormat="1" ht="17.45" customHeight="1">
      <c r="A42" s="496"/>
      <c r="B42" s="500" t="s">
        <v>99</v>
      </c>
      <c r="C42" s="503"/>
      <c r="D42" s="504"/>
      <c r="E42" s="466"/>
      <c r="F42" s="467"/>
      <c r="H42" s="105"/>
      <c r="I42" s="104"/>
      <c r="J42" s="104"/>
      <c r="K42" s="104"/>
      <c r="L42" s="104"/>
      <c r="M42" s="104"/>
      <c r="N42" s="104"/>
    </row>
    <row r="43" spans="1:14" s="99" customFormat="1" ht="17.45" customHeight="1" thickBot="1">
      <c r="A43" s="505"/>
      <c r="B43" s="506" t="s">
        <v>100</v>
      </c>
      <c r="C43" s="507" t="s">
        <v>101</v>
      </c>
      <c r="D43" s="508"/>
      <c r="E43" s="466"/>
      <c r="F43" s="467"/>
      <c r="H43" s="105"/>
      <c r="I43" s="104"/>
      <c r="J43" s="104"/>
      <c r="K43" s="104"/>
      <c r="L43" s="104"/>
      <c r="M43" s="104"/>
      <c r="N43" s="104"/>
    </row>
    <row r="44" spans="2:7" ht="12.75">
      <c r="B44" s="510"/>
      <c r="C44" s="511"/>
      <c r="D44" s="512"/>
      <c r="E44" s="513"/>
      <c r="F44" s="514"/>
      <c r="G44" s="104"/>
    </row>
    <row r="45" spans="2:7" ht="18" customHeight="1">
      <c r="B45" s="104"/>
      <c r="C45" s="511"/>
      <c r="D45" s="512"/>
      <c r="E45" s="513"/>
      <c r="F45" s="514"/>
      <c r="G45" s="104"/>
    </row>
    <row r="46" spans="2:7" ht="12.75">
      <c r="B46" s="104"/>
      <c r="C46" s="515"/>
      <c r="D46" s="105"/>
      <c r="E46" s="513"/>
      <c r="F46" s="514"/>
      <c r="G46" s="104"/>
    </row>
    <row r="47" spans="2:7" ht="18" customHeight="1">
      <c r="B47" s="104"/>
      <c r="C47" s="515"/>
      <c r="D47" s="105"/>
      <c r="E47" s="513"/>
      <c r="F47" s="514"/>
      <c r="G47" s="104"/>
    </row>
    <row r="48" spans="2:7" ht="12.75">
      <c r="B48" s="104"/>
      <c r="C48" s="515"/>
      <c r="D48" s="105"/>
      <c r="E48" s="513"/>
      <c r="F48" s="514"/>
      <c r="G48" s="104"/>
    </row>
    <row r="49" spans="2:7" ht="18" customHeight="1">
      <c r="B49" s="104"/>
      <c r="C49" s="515"/>
      <c r="D49" s="105"/>
      <c r="E49" s="513"/>
      <c r="F49" s="514"/>
      <c r="G49" s="104"/>
    </row>
    <row r="50" spans="2:7" ht="12.75">
      <c r="B50" s="104"/>
      <c r="C50" s="515"/>
      <c r="D50" s="105"/>
      <c r="E50" s="513"/>
      <c r="F50" s="514"/>
      <c r="G50" s="104"/>
    </row>
    <row r="51" spans="2:7" ht="18" customHeight="1">
      <c r="B51" s="104"/>
      <c r="C51" s="515"/>
      <c r="D51" s="105"/>
      <c r="E51" s="513"/>
      <c r="F51" s="514"/>
      <c r="G51" s="104"/>
    </row>
    <row r="52" spans="2:7" ht="12.75">
      <c r="B52" s="104"/>
      <c r="C52" s="515"/>
      <c r="D52" s="105"/>
      <c r="E52" s="513"/>
      <c r="F52" s="514"/>
      <c r="G52" s="104"/>
    </row>
    <row r="53" spans="2:7" ht="18" customHeight="1">
      <c r="B53" s="104"/>
      <c r="C53" s="515"/>
      <c r="D53" s="105"/>
      <c r="E53" s="513"/>
      <c r="F53" s="514"/>
      <c r="G53" s="104"/>
    </row>
    <row r="54" spans="2:7" ht="12.75">
      <c r="B54" s="104"/>
      <c r="C54" s="515"/>
      <c r="D54" s="105"/>
      <c r="E54" s="513"/>
      <c r="F54" s="514"/>
      <c r="G54" s="104"/>
    </row>
    <row r="55" spans="2:7" ht="18" customHeight="1">
      <c r="B55" s="104"/>
      <c r="C55" s="515"/>
      <c r="D55" s="105"/>
      <c r="E55" s="513"/>
      <c r="F55" s="514"/>
      <c r="G55" s="104"/>
    </row>
    <row r="56" spans="1:19" s="105" customFormat="1" ht="12.75">
      <c r="A56" s="509"/>
      <c r="B56" s="104"/>
      <c r="C56" s="515"/>
      <c r="E56" s="513"/>
      <c r="F56" s="514"/>
      <c r="G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</row>
    <row r="57" spans="1:19" s="105" customFormat="1" ht="18" customHeight="1">
      <c r="A57" s="509"/>
      <c r="B57" s="104"/>
      <c r="C57" s="515"/>
      <c r="E57" s="513"/>
      <c r="F57" s="514"/>
      <c r="G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</row>
    <row r="58" spans="1:19" s="105" customFormat="1" ht="12.75">
      <c r="A58" s="509"/>
      <c r="B58" s="104"/>
      <c r="C58" s="515"/>
      <c r="E58" s="513"/>
      <c r="F58" s="514"/>
      <c r="G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</row>
    <row r="59" spans="1:19" s="105" customFormat="1" ht="18" customHeight="1">
      <c r="A59" s="509"/>
      <c r="B59" s="104"/>
      <c r="C59" s="515"/>
      <c r="E59" s="513"/>
      <c r="F59" s="514"/>
      <c r="G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</row>
    <row r="60" spans="1:19" s="105" customFormat="1" ht="12.75">
      <c r="A60" s="509"/>
      <c r="B60" s="104"/>
      <c r="C60" s="515"/>
      <c r="E60" s="513"/>
      <c r="F60" s="514"/>
      <c r="G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</row>
    <row r="61" spans="1:19" s="105" customFormat="1" ht="18" customHeight="1">
      <c r="A61" s="509"/>
      <c r="B61" s="104"/>
      <c r="C61" s="515"/>
      <c r="E61" s="513"/>
      <c r="F61" s="514"/>
      <c r="G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</row>
    <row r="62" spans="1:19" s="105" customFormat="1" ht="12.75">
      <c r="A62" s="509"/>
      <c r="B62" s="104"/>
      <c r="C62" s="515"/>
      <c r="E62" s="513"/>
      <c r="F62" s="514"/>
      <c r="G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</row>
    <row r="63" spans="1:19" s="105" customFormat="1" ht="18" customHeight="1">
      <c r="A63" s="509"/>
      <c r="B63" s="104"/>
      <c r="C63" s="515"/>
      <c r="E63" s="513"/>
      <c r="F63" s="514"/>
      <c r="G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</row>
    <row r="64" spans="1:19" s="105" customFormat="1" ht="12.75">
      <c r="A64" s="509"/>
      <c r="B64" s="104"/>
      <c r="C64" s="515"/>
      <c r="E64" s="513"/>
      <c r="F64" s="514"/>
      <c r="G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</row>
    <row r="65" spans="1:19" s="105" customFormat="1" ht="18" customHeight="1">
      <c r="A65" s="509"/>
      <c r="B65" s="104"/>
      <c r="C65" s="515"/>
      <c r="E65" s="513"/>
      <c r="F65" s="514"/>
      <c r="G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:19" s="105" customFormat="1" ht="12.75">
      <c r="A66" s="509"/>
      <c r="B66" s="104"/>
      <c r="C66" s="515"/>
      <c r="E66" s="513"/>
      <c r="F66" s="514"/>
      <c r="G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19" s="105" customFormat="1" ht="18" customHeight="1">
      <c r="A67" s="509"/>
      <c r="B67" s="104"/>
      <c r="C67" s="515"/>
      <c r="E67" s="513"/>
      <c r="F67" s="514"/>
      <c r="G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:19" s="105" customFormat="1" ht="12.75">
      <c r="A68" s="509"/>
      <c r="B68" s="104"/>
      <c r="C68" s="515"/>
      <c r="E68" s="513"/>
      <c r="F68" s="514"/>
      <c r="G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:19" s="105" customFormat="1" ht="18" customHeight="1">
      <c r="A69" s="509"/>
      <c r="B69" s="104"/>
      <c r="C69" s="515"/>
      <c r="E69" s="513"/>
      <c r="F69" s="514"/>
      <c r="G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:19" s="105" customFormat="1" ht="12.75">
      <c r="A70" s="509"/>
      <c r="B70" s="104"/>
      <c r="C70" s="515"/>
      <c r="E70" s="513"/>
      <c r="F70" s="514"/>
      <c r="G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:19" s="105" customFormat="1" ht="18" customHeight="1">
      <c r="A71" s="509"/>
      <c r="B71" s="104"/>
      <c r="C71" s="515"/>
      <c r="E71" s="513"/>
      <c r="F71" s="514"/>
      <c r="G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:19" s="105" customFormat="1" ht="12.75">
      <c r="A72" s="509"/>
      <c r="B72" s="104"/>
      <c r="C72" s="515"/>
      <c r="E72" s="513"/>
      <c r="F72" s="514"/>
      <c r="G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:19" s="105" customFormat="1" ht="18" customHeight="1">
      <c r="A73" s="509"/>
      <c r="B73" s="104"/>
      <c r="C73" s="515"/>
      <c r="E73" s="513"/>
      <c r="F73" s="514"/>
      <c r="G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:19" s="105" customFormat="1" ht="12.75">
      <c r="A74" s="509"/>
      <c r="B74" s="104"/>
      <c r="C74" s="515"/>
      <c r="E74" s="513"/>
      <c r="F74" s="514"/>
      <c r="G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:19" s="105" customFormat="1" ht="18" customHeight="1">
      <c r="A75" s="509"/>
      <c r="B75" s="104"/>
      <c r="C75" s="515"/>
      <c r="E75" s="513"/>
      <c r="F75" s="514"/>
      <c r="G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:19" s="105" customFormat="1" ht="12.75">
      <c r="A76" s="509"/>
      <c r="B76" s="104"/>
      <c r="C76" s="515"/>
      <c r="E76" s="513"/>
      <c r="F76" s="514"/>
      <c r="G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</row>
    <row r="77" spans="1:19" s="105" customFormat="1" ht="18" customHeight="1">
      <c r="A77" s="509"/>
      <c r="B77" s="104"/>
      <c r="C77" s="515"/>
      <c r="E77" s="513"/>
      <c r="F77" s="514"/>
      <c r="G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</row>
    <row r="78" spans="1:19" s="105" customFormat="1" ht="12.75">
      <c r="A78" s="509"/>
      <c r="B78" s="104"/>
      <c r="C78" s="515"/>
      <c r="E78" s="513"/>
      <c r="F78" s="514"/>
      <c r="G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</row>
    <row r="79" spans="1:19" s="105" customFormat="1" ht="18" customHeight="1">
      <c r="A79" s="509"/>
      <c r="B79" s="104"/>
      <c r="C79" s="515"/>
      <c r="E79" s="513"/>
      <c r="F79" s="514"/>
      <c r="G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</row>
    <row r="80" spans="1:19" s="105" customFormat="1" ht="12.75">
      <c r="A80" s="509"/>
      <c r="B80" s="104"/>
      <c r="C80" s="515"/>
      <c r="E80" s="513"/>
      <c r="F80" s="514"/>
      <c r="G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</row>
    <row r="81" spans="1:19" s="105" customFormat="1" ht="18" customHeight="1">
      <c r="A81" s="509"/>
      <c r="B81" s="104"/>
      <c r="C81" s="515"/>
      <c r="E81" s="513"/>
      <c r="F81" s="514"/>
      <c r="G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</row>
    <row r="82" spans="1:19" s="105" customFormat="1" ht="12.75">
      <c r="A82" s="509"/>
      <c r="B82" s="104"/>
      <c r="C82" s="515"/>
      <c r="E82" s="513"/>
      <c r="F82" s="514"/>
      <c r="G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</row>
    <row r="83" spans="1:19" s="105" customFormat="1" ht="18" customHeight="1">
      <c r="A83" s="509"/>
      <c r="B83" s="104"/>
      <c r="C83" s="515"/>
      <c r="E83" s="513"/>
      <c r="F83" s="514"/>
      <c r="G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</row>
    <row r="84" spans="1:19" s="105" customFormat="1" ht="12.75">
      <c r="A84" s="509"/>
      <c r="B84" s="104"/>
      <c r="C84" s="515"/>
      <c r="E84" s="513"/>
      <c r="F84" s="514"/>
      <c r="G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</row>
    <row r="85" spans="1:19" s="105" customFormat="1" ht="18" customHeight="1">
      <c r="A85" s="509"/>
      <c r="B85" s="104"/>
      <c r="C85" s="515"/>
      <c r="E85" s="513"/>
      <c r="F85" s="514"/>
      <c r="G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</row>
    <row r="86" spans="1:19" s="105" customFormat="1" ht="12.75">
      <c r="A86" s="509"/>
      <c r="B86" s="104"/>
      <c r="C86" s="515"/>
      <c r="E86" s="513"/>
      <c r="F86" s="514"/>
      <c r="G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</row>
    <row r="87" spans="1:19" s="105" customFormat="1" ht="18" customHeight="1">
      <c r="A87" s="509"/>
      <c r="B87" s="104"/>
      <c r="C87" s="515"/>
      <c r="E87" s="513"/>
      <c r="F87" s="514"/>
      <c r="G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</row>
    <row r="88" spans="1:19" s="105" customFormat="1" ht="12.75">
      <c r="A88" s="509"/>
      <c r="B88" s="104"/>
      <c r="C88" s="515"/>
      <c r="E88" s="513"/>
      <c r="F88" s="514"/>
      <c r="G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</row>
    <row r="89" spans="1:19" s="105" customFormat="1" ht="18" customHeight="1">
      <c r="A89" s="509"/>
      <c r="B89" s="104"/>
      <c r="C89" s="515"/>
      <c r="E89" s="513"/>
      <c r="F89" s="514"/>
      <c r="G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</row>
    <row r="90" spans="1:19" s="105" customFormat="1" ht="12.75">
      <c r="A90" s="509"/>
      <c r="B90" s="104"/>
      <c r="C90" s="515"/>
      <c r="E90" s="513"/>
      <c r="F90" s="514"/>
      <c r="G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</row>
    <row r="91" spans="1:19" s="105" customFormat="1" ht="18" customHeight="1">
      <c r="A91" s="509"/>
      <c r="B91" s="104"/>
      <c r="C91" s="515"/>
      <c r="E91" s="513"/>
      <c r="F91" s="514"/>
      <c r="G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</row>
    <row r="92" spans="1:19" s="105" customFormat="1" ht="12.75">
      <c r="A92" s="509"/>
      <c r="B92" s="104"/>
      <c r="C92" s="104"/>
      <c r="E92" s="513"/>
      <c r="F92" s="514"/>
      <c r="G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</row>
    <row r="93" spans="1:19" s="105" customFormat="1" ht="12.75">
      <c r="A93" s="509"/>
      <c r="B93" s="104"/>
      <c r="C93" s="104"/>
      <c r="E93" s="513"/>
      <c r="F93" s="514"/>
      <c r="G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</row>
    <row r="94" spans="1:19" s="105" customFormat="1" ht="12.75">
      <c r="A94" s="509"/>
      <c r="B94" s="104"/>
      <c r="C94" s="104"/>
      <c r="E94" s="513"/>
      <c r="F94" s="514"/>
      <c r="G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</row>
    <row r="95" spans="1:19" s="105" customFormat="1" ht="12.75">
      <c r="A95" s="509"/>
      <c r="B95" s="104"/>
      <c r="C95" s="104"/>
      <c r="E95" s="513"/>
      <c r="F95" s="514"/>
      <c r="G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</row>
    <row r="96" spans="1:19" s="105" customFormat="1" ht="12.75">
      <c r="A96" s="509"/>
      <c r="B96" s="104"/>
      <c r="C96" s="104"/>
      <c r="E96" s="513"/>
      <c r="F96" s="514"/>
      <c r="G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</row>
    <row r="97" spans="1:19" s="105" customFormat="1" ht="12.75">
      <c r="A97" s="509"/>
      <c r="B97" s="104"/>
      <c r="C97" s="104"/>
      <c r="E97" s="513"/>
      <c r="F97" s="514"/>
      <c r="G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</row>
    <row r="98" spans="1:19" s="105" customFormat="1" ht="12.75">
      <c r="A98" s="509"/>
      <c r="B98" s="104"/>
      <c r="C98" s="104"/>
      <c r="E98" s="513"/>
      <c r="F98" s="514"/>
      <c r="G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</row>
    <row r="99" spans="1:19" s="105" customFormat="1" ht="12.75">
      <c r="A99" s="509"/>
      <c r="B99" s="104"/>
      <c r="C99" s="104"/>
      <c r="E99" s="513"/>
      <c r="F99" s="514"/>
      <c r="G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</row>
    <row r="100" spans="1:19" s="105" customFormat="1" ht="12.75">
      <c r="A100" s="509"/>
      <c r="B100" s="104"/>
      <c r="C100" s="104"/>
      <c r="E100" s="513"/>
      <c r="F100" s="514"/>
      <c r="G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</row>
    <row r="101" spans="1:19" s="105" customFormat="1" ht="12.75">
      <c r="A101" s="509"/>
      <c r="B101" s="104"/>
      <c r="C101" s="104"/>
      <c r="E101" s="513"/>
      <c r="F101" s="514"/>
      <c r="G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</row>
    <row r="102" spans="1:19" s="105" customFormat="1" ht="12.75">
      <c r="A102" s="509"/>
      <c r="B102" s="104"/>
      <c r="C102" s="104"/>
      <c r="E102" s="513"/>
      <c r="F102" s="514"/>
      <c r="G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</row>
    <row r="103" spans="1:19" s="105" customFormat="1" ht="12.75">
      <c r="A103" s="509"/>
      <c r="B103" s="104"/>
      <c r="C103" s="104"/>
      <c r="E103" s="513"/>
      <c r="F103" s="514"/>
      <c r="G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</row>
    <row r="104" spans="1:19" s="105" customFormat="1" ht="12.75">
      <c r="A104" s="509"/>
      <c r="B104" s="104"/>
      <c r="C104" s="104"/>
      <c r="E104" s="513"/>
      <c r="F104" s="514"/>
      <c r="G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</row>
    <row r="105" spans="1:19" s="105" customFormat="1" ht="12.75">
      <c r="A105" s="509"/>
      <c r="B105" s="104"/>
      <c r="C105" s="104"/>
      <c r="E105" s="513"/>
      <c r="F105" s="514"/>
      <c r="G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</row>
    <row r="106" spans="1:19" s="105" customFormat="1" ht="12.75">
      <c r="A106" s="509"/>
      <c r="B106" s="104"/>
      <c r="C106" s="104"/>
      <c r="E106" s="513"/>
      <c r="F106" s="514"/>
      <c r="G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</row>
    <row r="107" spans="1:19" s="105" customFormat="1" ht="12.75">
      <c r="A107" s="509"/>
      <c r="B107" s="104"/>
      <c r="C107" s="104"/>
      <c r="E107" s="513"/>
      <c r="F107" s="514"/>
      <c r="G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</row>
    <row r="108" spans="1:19" s="105" customFormat="1" ht="12.75">
      <c r="A108" s="509"/>
      <c r="B108" s="104"/>
      <c r="C108" s="104"/>
      <c r="E108" s="513"/>
      <c r="F108" s="514"/>
      <c r="G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</row>
    <row r="109" spans="1:19" s="105" customFormat="1" ht="12.75">
      <c r="A109" s="509"/>
      <c r="B109" s="104"/>
      <c r="C109" s="104"/>
      <c r="E109" s="513"/>
      <c r="F109" s="514"/>
      <c r="G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</row>
    <row r="110" spans="1:19" s="105" customFormat="1" ht="12.75">
      <c r="A110" s="509"/>
      <c r="B110" s="104"/>
      <c r="C110" s="104"/>
      <c r="E110" s="513"/>
      <c r="F110" s="514"/>
      <c r="G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</row>
    <row r="111" spans="1:19" s="105" customFormat="1" ht="12.75">
      <c r="A111" s="509"/>
      <c r="B111" s="104"/>
      <c r="C111" s="104"/>
      <c r="E111" s="513"/>
      <c r="F111" s="514"/>
      <c r="G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</row>
    <row r="112" spans="1:19" s="105" customFormat="1" ht="12.75">
      <c r="A112" s="509"/>
      <c r="B112" s="104"/>
      <c r="C112" s="104"/>
      <c r="E112" s="513"/>
      <c r="F112" s="514"/>
      <c r="G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</row>
    <row r="113" spans="1:19" s="105" customFormat="1" ht="12.75">
      <c r="A113" s="509"/>
      <c r="B113" s="104"/>
      <c r="C113" s="104"/>
      <c r="E113" s="513"/>
      <c r="F113" s="514"/>
      <c r="G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</row>
    <row r="114" spans="1:19" s="105" customFormat="1" ht="12.75">
      <c r="A114" s="509"/>
      <c r="B114" s="104"/>
      <c r="C114" s="104"/>
      <c r="E114" s="513"/>
      <c r="F114" s="514"/>
      <c r="G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</row>
    <row r="115" spans="1:19" s="105" customFormat="1" ht="12.75">
      <c r="A115" s="509"/>
      <c r="B115" s="104"/>
      <c r="C115" s="104"/>
      <c r="E115" s="513"/>
      <c r="F115" s="514"/>
      <c r="G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</row>
    <row r="116" spans="1:19" s="105" customFormat="1" ht="12.75">
      <c r="A116" s="509"/>
      <c r="B116" s="104"/>
      <c r="C116" s="104"/>
      <c r="E116" s="513"/>
      <c r="F116" s="514"/>
      <c r="G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</row>
    <row r="117" spans="1:19" s="105" customFormat="1" ht="12.75">
      <c r="A117" s="509"/>
      <c r="B117" s="104"/>
      <c r="C117" s="104"/>
      <c r="E117" s="513"/>
      <c r="F117" s="514"/>
      <c r="G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</row>
    <row r="118" spans="1:19" s="105" customFormat="1" ht="12.75">
      <c r="A118" s="509"/>
      <c r="B118" s="104"/>
      <c r="C118" s="104"/>
      <c r="E118" s="513"/>
      <c r="F118" s="514"/>
      <c r="G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</row>
    <row r="119" spans="1:19" s="105" customFormat="1" ht="12.75">
      <c r="A119" s="509"/>
      <c r="B119" s="104"/>
      <c r="C119" s="104"/>
      <c r="E119" s="513"/>
      <c r="F119" s="514"/>
      <c r="G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</row>
    <row r="120" spans="1:19" s="105" customFormat="1" ht="12.75">
      <c r="A120" s="509"/>
      <c r="B120" s="104"/>
      <c r="C120" s="104"/>
      <c r="E120" s="513"/>
      <c r="F120" s="514"/>
      <c r="G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</row>
    <row r="121" spans="1:19" s="105" customFormat="1" ht="12.75">
      <c r="A121" s="509"/>
      <c r="B121" s="104"/>
      <c r="C121" s="104"/>
      <c r="E121" s="513"/>
      <c r="F121" s="514"/>
      <c r="G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</row>
    <row r="122" spans="1:19" s="105" customFormat="1" ht="12.75">
      <c r="A122" s="509"/>
      <c r="B122" s="104"/>
      <c r="C122" s="104"/>
      <c r="E122" s="513"/>
      <c r="F122" s="514"/>
      <c r="G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</row>
    <row r="123" spans="1:19" s="105" customFormat="1" ht="12.75">
      <c r="A123" s="509"/>
      <c r="B123" s="104"/>
      <c r="C123" s="104"/>
      <c r="E123" s="513"/>
      <c r="F123" s="514"/>
      <c r="G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</row>
    <row r="124" spans="1:19" s="105" customFormat="1" ht="12.75">
      <c r="A124" s="509"/>
      <c r="B124" s="104"/>
      <c r="C124" s="104"/>
      <c r="E124" s="513"/>
      <c r="F124" s="514"/>
      <c r="G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</row>
    <row r="125" spans="1:19" s="105" customFormat="1" ht="12.75">
      <c r="A125" s="509"/>
      <c r="B125" s="104"/>
      <c r="C125" s="104"/>
      <c r="E125" s="513"/>
      <c r="F125" s="514"/>
      <c r="G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</row>
  </sheetData>
  <mergeCells count="3">
    <mergeCell ref="B3:C3"/>
    <mergeCell ref="B37:D37"/>
    <mergeCell ref="B38:D38"/>
  </mergeCells>
  <printOptions/>
  <pageMargins left="0.6299212598425197" right="0.35433070866141736" top="0.5905511811023623" bottom="0.7086614173228347" header="0.5118110236220472" footer="0.31496062992125984"/>
  <pageSetup fitToHeight="99" horizontalDpi="600" verticalDpi="600" orientation="portrait" paperSize="9" scale="80" r:id="rId1"/>
  <headerFooter alignWithMargins="0">
    <oddFooter>&amp;L&amp;F
&amp;A&amp;C&amp;P/&amp;N&amp;R
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FF"/>
  </sheetPr>
  <dimension ref="A1:K148"/>
  <sheetViews>
    <sheetView showGridLines="0" view="pageBreakPreview" zoomScaleSheetLayoutView="100" workbookViewId="0" topLeftCell="A1">
      <selection activeCell="G6" sqref="G6"/>
    </sheetView>
  </sheetViews>
  <sheetFormatPr defaultColWidth="9.140625" defaultRowHeight="12.75"/>
  <cols>
    <col min="1" max="1" width="6.8515625" style="357" customWidth="1"/>
    <col min="2" max="2" width="15.140625" style="358" customWidth="1"/>
    <col min="3" max="3" width="47.8515625" style="104" customWidth="1"/>
    <col min="4" max="4" width="10.28125" style="104" customWidth="1"/>
    <col min="5" max="5" width="10.8515625" style="361" customWidth="1"/>
    <col min="6" max="6" width="11.421875" style="360" customWidth="1"/>
    <col min="7" max="7" width="18.140625" style="105" customWidth="1"/>
    <col min="8" max="11" width="9.28125" style="104" bestFit="1" customWidth="1"/>
    <col min="12" max="16384" width="9.140625" style="104" customWidth="1"/>
  </cols>
  <sheetData>
    <row r="1" spans="1:7" s="39" customFormat="1" ht="57" customHeight="1">
      <c r="A1" s="387" t="s">
        <v>0</v>
      </c>
      <c r="B1" s="388"/>
      <c r="C1" s="389" t="s">
        <v>84</v>
      </c>
      <c r="D1" s="390"/>
      <c r="E1" s="390"/>
      <c r="F1" s="391"/>
      <c r="G1" s="392" t="s">
        <v>1</v>
      </c>
    </row>
    <row r="2" spans="1:7" s="88" customFormat="1" ht="29.25" customHeight="1">
      <c r="A2" s="394" t="s">
        <v>2</v>
      </c>
      <c r="B2" s="395"/>
      <c r="C2" s="520" t="s">
        <v>103</v>
      </c>
      <c r="D2" s="102"/>
      <c r="E2" s="396"/>
      <c r="F2" s="397"/>
      <c r="G2" s="398" t="s">
        <v>3</v>
      </c>
    </row>
    <row r="3" spans="1:7" s="405" customFormat="1" ht="70.5" customHeight="1">
      <c r="A3" s="394" t="s">
        <v>4</v>
      </c>
      <c r="B3" s="395"/>
      <c r="C3" s="657" t="s">
        <v>178</v>
      </c>
      <c r="D3" s="658"/>
      <c r="E3" s="400"/>
      <c r="F3" s="401"/>
      <c r="G3" s="1" t="s">
        <v>237</v>
      </c>
    </row>
    <row r="4" spans="1:7" s="286" customFormat="1" ht="24" customHeight="1">
      <c r="A4" s="518"/>
      <c r="B4" s="107" t="s">
        <v>876</v>
      </c>
      <c r="C4" s="108" t="s">
        <v>324</v>
      </c>
      <c r="D4" s="109"/>
      <c r="E4" s="407"/>
      <c r="F4" s="110"/>
      <c r="G4" s="111"/>
    </row>
    <row r="5" spans="1:7" ht="5.25" customHeight="1" thickBot="1">
      <c r="A5" s="113"/>
      <c r="B5" s="114"/>
      <c r="C5" s="115"/>
      <c r="D5" s="115"/>
      <c r="E5" s="116"/>
      <c r="F5" s="117"/>
      <c r="G5" s="118"/>
    </row>
    <row r="6" spans="1:7" s="128" customFormat="1" ht="51.75" customHeight="1" thickBot="1">
      <c r="A6" s="120" t="s">
        <v>5</v>
      </c>
      <c r="B6" s="121"/>
      <c r="C6" s="122" t="s">
        <v>6</v>
      </c>
      <c r="D6" s="123" t="s">
        <v>7</v>
      </c>
      <c r="E6" s="124" t="s">
        <v>8</v>
      </c>
      <c r="F6" s="125" t="s">
        <v>9</v>
      </c>
      <c r="G6" s="126" t="s">
        <v>10</v>
      </c>
    </row>
    <row r="7" spans="1:7" s="139" customFormat="1" ht="24" customHeight="1" thickTop="1">
      <c r="A7" s="130"/>
      <c r="B7" s="131"/>
      <c r="C7" s="132" t="s">
        <v>11</v>
      </c>
      <c r="D7" s="133"/>
      <c r="E7" s="134"/>
      <c r="F7" s="135"/>
      <c r="G7" s="136"/>
    </row>
    <row r="8" spans="1:7" s="139" customFormat="1" ht="12" customHeight="1">
      <c r="A8" s="130"/>
      <c r="B8" s="131"/>
      <c r="C8" s="229"/>
      <c r="D8" s="133"/>
      <c r="E8" s="134"/>
      <c r="F8" s="135"/>
      <c r="G8" s="136"/>
    </row>
    <row r="9" spans="1:7" s="9" customFormat="1" ht="6" customHeight="1">
      <c r="A9" s="2"/>
      <c r="B9" s="3"/>
      <c r="C9" s="4"/>
      <c r="D9" s="5"/>
      <c r="E9" s="5"/>
      <c r="F9" s="5"/>
      <c r="G9" s="6"/>
    </row>
    <row r="10" spans="1:7" s="128" customFormat="1" ht="10.5" customHeight="1">
      <c r="A10" s="141"/>
      <c r="B10" s="142"/>
      <c r="C10" s="11"/>
      <c r="D10" s="143"/>
      <c r="E10" s="144"/>
      <c r="F10" s="145"/>
      <c r="G10" s="146"/>
    </row>
    <row r="11" spans="1:7" s="99" customFormat="1" ht="18" customHeight="1">
      <c r="A11" s="147"/>
      <c r="B11" s="148"/>
      <c r="C11" s="149" t="s">
        <v>12</v>
      </c>
      <c r="D11" s="150"/>
      <c r="E11" s="151"/>
      <c r="F11" s="152"/>
      <c r="G11" s="153"/>
    </row>
    <row r="12" spans="1:7" s="161" customFormat="1" ht="10.5" customHeight="1">
      <c r="A12" s="147"/>
      <c r="B12" s="154"/>
      <c r="C12" s="155"/>
      <c r="D12" s="156"/>
      <c r="E12" s="157"/>
      <c r="F12" s="158"/>
      <c r="G12" s="159"/>
    </row>
    <row r="13" spans="1:7" s="9" customFormat="1" ht="6" customHeight="1">
      <c r="A13" s="2"/>
      <c r="B13" s="3"/>
      <c r="C13" s="4"/>
      <c r="D13" s="5"/>
      <c r="E13" s="5"/>
      <c r="F13" s="5"/>
      <c r="G13" s="6"/>
    </row>
    <row r="14" spans="1:7" s="161" customFormat="1" ht="18" customHeight="1">
      <c r="A14" s="147"/>
      <c r="B14" s="154"/>
      <c r="C14" s="155"/>
      <c r="D14" s="156"/>
      <c r="E14" s="157"/>
      <c r="F14" s="158"/>
      <c r="G14" s="159"/>
    </row>
    <row r="15" spans="1:7" s="171" customFormat="1" ht="18" customHeight="1">
      <c r="A15" s="163" t="str">
        <f>A24</f>
        <v>1</v>
      </c>
      <c r="B15" s="164" t="s">
        <v>13</v>
      </c>
      <c r="C15" s="166" t="str">
        <f>C24</f>
        <v>Práce</v>
      </c>
      <c r="D15" s="167"/>
      <c r="E15" s="168"/>
      <c r="F15" s="169"/>
      <c r="G15" s="165">
        <f>G29</f>
        <v>0</v>
      </c>
    </row>
    <row r="16" spans="1:7" s="171" customFormat="1" ht="18" customHeight="1">
      <c r="A16" s="163" t="str">
        <f>A31</f>
        <v>2</v>
      </c>
      <c r="B16" s="164">
        <f>B31</f>
        <v>0</v>
      </c>
      <c r="C16" s="166" t="str">
        <f>C31</f>
        <v>Potrubí a kabely</v>
      </c>
      <c r="D16" s="167"/>
      <c r="E16" s="168"/>
      <c r="F16" s="169"/>
      <c r="G16" s="165">
        <f>G38</f>
        <v>0</v>
      </c>
    </row>
    <row r="17" spans="1:7" s="171" customFormat="1" ht="18" customHeight="1">
      <c r="A17" s="163" t="str">
        <f>A40</f>
        <v>3</v>
      </c>
      <c r="B17" s="164">
        <f>B40</f>
        <v>0</v>
      </c>
      <c r="C17" s="166" t="str">
        <f>C40</f>
        <v>Řídicí systém</v>
      </c>
      <c r="D17" s="167"/>
      <c r="E17" s="168"/>
      <c r="F17" s="169"/>
      <c r="G17" s="165">
        <f>G46</f>
        <v>0</v>
      </c>
    </row>
    <row r="18" spans="1:7" s="161" customFormat="1" ht="18" customHeight="1">
      <c r="A18" s="163" t="str">
        <f>A48</f>
        <v>4</v>
      </c>
      <c r="B18" s="164">
        <f>B48</f>
        <v>0</v>
      </c>
      <c r="C18" s="155" t="str">
        <f>C48</f>
        <v>Elektromagnetické ventily</v>
      </c>
      <c r="D18" s="156"/>
      <c r="E18" s="157"/>
      <c r="F18" s="158"/>
      <c r="G18" s="159">
        <f>G57</f>
        <v>0</v>
      </c>
    </row>
    <row r="19" spans="1:7" s="161" customFormat="1" ht="18" customHeight="1">
      <c r="A19" s="163" t="str">
        <f>A59</f>
        <v>5</v>
      </c>
      <c r="B19" s="164">
        <f>B59</f>
        <v>0</v>
      </c>
      <c r="C19" s="155" t="str">
        <f>C59</f>
        <v>Kapková závlaha a ruční závlaha</v>
      </c>
      <c r="D19" s="156"/>
      <c r="E19" s="157"/>
      <c r="F19" s="158"/>
      <c r="G19" s="159">
        <f>G72</f>
        <v>0</v>
      </c>
    </row>
    <row r="20" spans="1:7" s="161" customFormat="1" ht="18" customHeight="1">
      <c r="A20" s="163" t="str">
        <f>A74</f>
        <v>6</v>
      </c>
      <c r="B20" s="164">
        <f>$B$74</f>
        <v>0</v>
      </c>
      <c r="C20" s="155" t="str">
        <f>C74</f>
        <v>Ostatní</v>
      </c>
      <c r="D20" s="156"/>
      <c r="E20" s="157"/>
      <c r="F20" s="158"/>
      <c r="G20" s="159">
        <f>G83</f>
        <v>0</v>
      </c>
    </row>
    <row r="21" spans="1:7" s="99" customFormat="1" ht="18" customHeight="1" thickBot="1">
      <c r="A21" s="180"/>
      <c r="B21" s="181"/>
      <c r="C21" s="182"/>
      <c r="D21" s="182"/>
      <c r="E21" s="183"/>
      <c r="F21" s="184"/>
      <c r="G21" s="185"/>
    </row>
    <row r="22" spans="1:7" s="194" customFormat="1" ht="23.25" customHeight="1" thickBot="1">
      <c r="A22" s="186"/>
      <c r="B22" s="187"/>
      <c r="C22" s="188" t="s">
        <v>14</v>
      </c>
      <c r="D22" s="188"/>
      <c r="E22" s="189"/>
      <c r="F22" s="190"/>
      <c r="G22" s="191">
        <f>SUM(G15:G21)</f>
        <v>0</v>
      </c>
    </row>
    <row r="23" spans="1:7" ht="13.5" customHeight="1" thickBot="1">
      <c r="A23" s="196"/>
      <c r="B23" s="197"/>
      <c r="C23" s="198"/>
      <c r="D23" s="198"/>
      <c r="E23" s="199"/>
      <c r="F23" s="200"/>
      <c r="G23" s="201"/>
    </row>
    <row r="24" spans="1:7" s="210" customFormat="1" ht="16.5" customHeight="1" thickBot="1">
      <c r="A24" s="202" t="s">
        <v>15</v>
      </c>
      <c r="B24" s="203"/>
      <c r="C24" s="204" t="s">
        <v>325</v>
      </c>
      <c r="D24" s="205"/>
      <c r="E24" s="206"/>
      <c r="F24" s="207"/>
      <c r="G24" s="208"/>
    </row>
    <row r="25" spans="1:7" s="256" customFormat="1" ht="12.75">
      <c r="A25" s="248"/>
      <c r="B25" s="249"/>
      <c r="C25" s="250"/>
      <c r="D25" s="251"/>
      <c r="E25" s="215"/>
      <c r="F25" s="252"/>
      <c r="G25" s="253"/>
    </row>
    <row r="26" spans="1:7" s="21" customFormat="1" ht="20.25" customHeight="1">
      <c r="A26" s="12" t="s">
        <v>136</v>
      </c>
      <c r="B26" s="13"/>
      <c r="C26" s="14" t="s">
        <v>326</v>
      </c>
      <c r="D26" s="15" t="s">
        <v>228</v>
      </c>
      <c r="E26" s="16">
        <v>1</v>
      </c>
      <c r="F26" s="17"/>
      <c r="G26" s="18">
        <f>$E26*F26</f>
        <v>0</v>
      </c>
    </row>
    <row r="27" spans="1:7" s="262" customFormat="1" ht="16.5" customHeight="1">
      <c r="A27" s="363" t="s">
        <v>137</v>
      </c>
      <c r="B27" s="227"/>
      <c r="C27" s="259" t="s">
        <v>327</v>
      </c>
      <c r="D27" s="260" t="s">
        <v>20</v>
      </c>
      <c r="E27" s="228">
        <v>2</v>
      </c>
      <c r="F27" s="228"/>
      <c r="G27" s="18">
        <f>$E27*F27</f>
        <v>0</v>
      </c>
    </row>
    <row r="28" spans="1:7" s="50" customFormat="1" ht="11.25" customHeight="1" thickBot="1">
      <c r="A28" s="52"/>
      <c r="B28" s="53"/>
      <c r="C28" s="266"/>
      <c r="D28" s="54"/>
      <c r="E28" s="55"/>
      <c r="F28" s="56"/>
      <c r="G28" s="57"/>
    </row>
    <row r="29" spans="1:7" s="99" customFormat="1" ht="16.5" customHeight="1" thickBot="1">
      <c r="A29" s="237"/>
      <c r="B29" s="238"/>
      <c r="C29" s="239" t="s">
        <v>24</v>
      </c>
      <c r="D29" s="240"/>
      <c r="E29" s="241"/>
      <c r="F29" s="242"/>
      <c r="G29" s="243">
        <f>SUBTOTAL(9,G25:G28)</f>
        <v>0</v>
      </c>
    </row>
    <row r="30" spans="1:7" s="99" customFormat="1" ht="13.5" customHeight="1" thickBot="1">
      <c r="A30" s="244"/>
      <c r="B30" s="245"/>
      <c r="C30" s="246"/>
      <c r="D30" s="246"/>
      <c r="E30" s="247"/>
      <c r="F30" s="200"/>
      <c r="G30" s="201"/>
    </row>
    <row r="31" spans="1:7" s="210" customFormat="1" ht="16.5" customHeight="1" thickBot="1">
      <c r="A31" s="202" t="s">
        <v>25</v>
      </c>
      <c r="B31" s="203"/>
      <c r="C31" s="204" t="s">
        <v>328</v>
      </c>
      <c r="D31" s="205"/>
      <c r="E31" s="206"/>
      <c r="F31" s="207"/>
      <c r="G31" s="208"/>
    </row>
    <row r="32" spans="1:7" s="256" customFormat="1" ht="12.75">
      <c r="A32" s="248"/>
      <c r="B32" s="249"/>
      <c r="C32" s="250"/>
      <c r="D32" s="251"/>
      <c r="E32" s="215"/>
      <c r="F32" s="252"/>
      <c r="G32" s="253"/>
    </row>
    <row r="33" spans="1:7" s="171" customFormat="1" ht="20.25" customHeight="1">
      <c r="A33" s="363" t="s">
        <v>142</v>
      </c>
      <c r="B33" s="344" t="s">
        <v>329</v>
      </c>
      <c r="C33" s="366" t="s">
        <v>330</v>
      </c>
      <c r="D33" s="382" t="s">
        <v>21</v>
      </c>
      <c r="E33" s="55">
        <v>100</v>
      </c>
      <c r="F33" s="368"/>
      <c r="G33" s="18">
        <f aca="true" t="shared" si="0" ref="G33:G34">$E33*F33</f>
        <v>0</v>
      </c>
    </row>
    <row r="34" spans="1:7" s="373" customFormat="1" ht="22.5" customHeight="1">
      <c r="A34" s="364" t="s">
        <v>143</v>
      </c>
      <c r="B34" s="365" t="s">
        <v>331</v>
      </c>
      <c r="C34" s="366" t="s">
        <v>332</v>
      </c>
      <c r="D34" s="260" t="s">
        <v>20</v>
      </c>
      <c r="E34" s="55">
        <v>4</v>
      </c>
      <c r="F34" s="368"/>
      <c r="G34" s="18">
        <f t="shared" si="0"/>
        <v>0</v>
      </c>
    </row>
    <row r="35" spans="1:7" s="262" customFormat="1" ht="16.5" customHeight="1">
      <c r="A35" s="258" t="s">
        <v>26</v>
      </c>
      <c r="B35" s="227"/>
      <c r="C35" s="259" t="s">
        <v>333</v>
      </c>
      <c r="D35" s="15" t="s">
        <v>228</v>
      </c>
      <c r="E35" s="228">
        <v>2</v>
      </c>
      <c r="F35" s="228"/>
      <c r="G35" s="218">
        <f aca="true" t="shared" si="1" ref="G35">$E35*F35</f>
        <v>0</v>
      </c>
    </row>
    <row r="36" spans="1:7" s="262" customFormat="1" ht="16.5" customHeight="1">
      <c r="A36" s="258" t="s">
        <v>144</v>
      </c>
      <c r="B36" s="227"/>
      <c r="C36" s="259" t="s">
        <v>334</v>
      </c>
      <c r="D36" s="382" t="s">
        <v>21</v>
      </c>
      <c r="E36" s="228">
        <v>5</v>
      </c>
      <c r="F36" s="228"/>
      <c r="G36" s="218">
        <f aca="true" t="shared" si="2" ref="G36">$E36*F36</f>
        <v>0</v>
      </c>
    </row>
    <row r="37" spans="1:7" s="256" customFormat="1" ht="13.5" thickBot="1">
      <c r="A37" s="270"/>
      <c r="B37" s="271"/>
      <c r="C37" s="272"/>
      <c r="D37" s="273"/>
      <c r="E37" s="236"/>
      <c r="F37" s="274"/>
      <c r="G37" s="275"/>
    </row>
    <row r="38" spans="1:7" s="99" customFormat="1" ht="16.5" customHeight="1" thickBot="1">
      <c r="A38" s="237"/>
      <c r="B38" s="238"/>
      <c r="C38" s="239" t="s">
        <v>24</v>
      </c>
      <c r="D38" s="276"/>
      <c r="E38" s="277"/>
      <c r="F38" s="278"/>
      <c r="G38" s="243">
        <f>SUBTOTAL(9,G32:G37)</f>
        <v>0</v>
      </c>
    </row>
    <row r="39" spans="1:7" s="99" customFormat="1" ht="13.5" customHeight="1" thickBot="1">
      <c r="A39" s="244"/>
      <c r="B39" s="245"/>
      <c r="C39" s="246"/>
      <c r="D39" s="279"/>
      <c r="E39" s="280"/>
      <c r="F39" s="281"/>
      <c r="G39" s="201"/>
    </row>
    <row r="40" spans="1:7" s="210" customFormat="1" ht="16.5" customHeight="1" thickBot="1">
      <c r="A40" s="202" t="s">
        <v>13</v>
      </c>
      <c r="B40" s="203"/>
      <c r="C40" s="204" t="s">
        <v>335</v>
      </c>
      <c r="D40" s="205"/>
      <c r="E40" s="206"/>
      <c r="F40" s="207"/>
      <c r="G40" s="208"/>
    </row>
    <row r="41" spans="1:7" s="79" customFormat="1" ht="12.75">
      <c r="A41" s="70"/>
      <c r="B41" s="71"/>
      <c r="C41" s="72"/>
      <c r="D41" s="73"/>
      <c r="E41" s="74"/>
      <c r="F41" s="75"/>
      <c r="G41" s="76"/>
    </row>
    <row r="42" spans="1:7" s="59" customFormat="1" ht="18" customHeight="1">
      <c r="A42" s="12" t="s">
        <v>28</v>
      </c>
      <c r="B42" s="33" t="s">
        <v>336</v>
      </c>
      <c r="C42" s="14" t="s">
        <v>339</v>
      </c>
      <c r="D42" s="260" t="s">
        <v>20</v>
      </c>
      <c r="E42" s="16">
        <v>1</v>
      </c>
      <c r="F42" s="17"/>
      <c r="G42" s="18">
        <f>$E42*F42</f>
        <v>0</v>
      </c>
    </row>
    <row r="43" spans="1:7" s="262" customFormat="1" ht="19.5" customHeight="1">
      <c r="A43" s="258" t="s">
        <v>29</v>
      </c>
      <c r="B43" s="33" t="s">
        <v>337</v>
      </c>
      <c r="C43" s="259" t="s">
        <v>340</v>
      </c>
      <c r="D43" s="260" t="s">
        <v>20</v>
      </c>
      <c r="E43" s="16">
        <v>1</v>
      </c>
      <c r="F43" s="17"/>
      <c r="G43" s="218">
        <f>$E43*F43</f>
        <v>0</v>
      </c>
    </row>
    <row r="44" spans="1:7" s="256" customFormat="1" ht="18.75" customHeight="1">
      <c r="A44" s="301" t="s">
        <v>30</v>
      </c>
      <c r="B44" s="331" t="s">
        <v>338</v>
      </c>
      <c r="C44" s="332" t="s">
        <v>341</v>
      </c>
      <c r="D44" s="260" t="s">
        <v>20</v>
      </c>
      <c r="E44" s="16">
        <v>1</v>
      </c>
      <c r="F44" s="17"/>
      <c r="G44" s="34">
        <f aca="true" t="shared" si="3" ref="G44">$E44*F44</f>
        <v>0</v>
      </c>
    </row>
    <row r="45" spans="1:7" s="79" customFormat="1" ht="17.25" customHeight="1" thickBot="1">
      <c r="A45" s="81"/>
      <c r="B45" s="82"/>
      <c r="C45" s="83"/>
      <c r="D45" s="84"/>
      <c r="E45" s="85"/>
      <c r="F45" s="86"/>
      <c r="G45" s="87"/>
    </row>
    <row r="46" spans="1:7" s="99" customFormat="1" ht="16.5" customHeight="1" thickBot="1">
      <c r="A46" s="237"/>
      <c r="B46" s="238"/>
      <c r="C46" s="239"/>
      <c r="D46" s="240"/>
      <c r="E46" s="282"/>
      <c r="F46" s="278"/>
      <c r="G46" s="243">
        <f>SUBTOTAL(9,G41:G45)</f>
        <v>0</v>
      </c>
    </row>
    <row r="47" spans="1:7" s="99" customFormat="1" ht="13.7" customHeight="1" thickBot="1">
      <c r="A47" s="244"/>
      <c r="B47" s="245"/>
      <c r="C47" s="246"/>
      <c r="D47" s="246"/>
      <c r="E47" s="285"/>
      <c r="F47" s="281"/>
      <c r="G47" s="201"/>
    </row>
    <row r="48" spans="1:7" s="210" customFormat="1" ht="16.5" customHeight="1" thickBot="1">
      <c r="A48" s="202" t="s">
        <v>27</v>
      </c>
      <c r="B48" s="203"/>
      <c r="C48" s="204" t="s">
        <v>342</v>
      </c>
      <c r="D48" s="205"/>
      <c r="E48" s="206"/>
      <c r="F48" s="207"/>
      <c r="G48" s="208"/>
    </row>
    <row r="49" spans="1:7" s="99" customFormat="1" ht="12.75">
      <c r="A49" s="212"/>
      <c r="B49" s="299"/>
      <c r="C49" s="213"/>
      <c r="D49" s="214"/>
      <c r="E49" s="287"/>
      <c r="F49" s="216"/>
      <c r="G49" s="300"/>
    </row>
    <row r="50" spans="1:7" s="268" customFormat="1" ht="32.25" customHeight="1">
      <c r="A50" s="258" t="s">
        <v>38</v>
      </c>
      <c r="B50" s="227" t="s">
        <v>343</v>
      </c>
      <c r="C50" s="259" t="s">
        <v>349</v>
      </c>
      <c r="D50" s="260" t="s">
        <v>20</v>
      </c>
      <c r="E50" s="228">
        <v>3</v>
      </c>
      <c r="F50" s="228"/>
      <c r="G50" s="34">
        <f>$E50*F50</f>
        <v>0</v>
      </c>
    </row>
    <row r="51" spans="1:7" s="268" customFormat="1" ht="19.5" customHeight="1">
      <c r="A51" s="258" t="s">
        <v>229</v>
      </c>
      <c r="B51" s="227" t="s">
        <v>345</v>
      </c>
      <c r="C51" s="259" t="s">
        <v>350</v>
      </c>
      <c r="D51" s="260" t="s">
        <v>20</v>
      </c>
      <c r="E51" s="228">
        <v>1</v>
      </c>
      <c r="F51" s="228"/>
      <c r="G51" s="34">
        <f aca="true" t="shared" si="4" ref="G51:G55">$E51*F51</f>
        <v>0</v>
      </c>
    </row>
    <row r="52" spans="1:7" s="268" customFormat="1" ht="19.5" customHeight="1">
      <c r="A52" s="258" t="s">
        <v>230</v>
      </c>
      <c r="B52" s="227" t="s">
        <v>344</v>
      </c>
      <c r="C52" s="259" t="s">
        <v>351</v>
      </c>
      <c r="D52" s="260" t="s">
        <v>20</v>
      </c>
      <c r="E52" s="228">
        <v>2</v>
      </c>
      <c r="F52" s="228"/>
      <c r="G52" s="34">
        <f t="shared" si="4"/>
        <v>0</v>
      </c>
    </row>
    <row r="53" spans="1:7" s="268" customFormat="1" ht="19.5" customHeight="1">
      <c r="A53" s="258" t="s">
        <v>231</v>
      </c>
      <c r="B53" s="227" t="s">
        <v>346</v>
      </c>
      <c r="C53" s="259" t="s">
        <v>352</v>
      </c>
      <c r="D53" s="260" t="s">
        <v>20</v>
      </c>
      <c r="E53" s="228">
        <v>2</v>
      </c>
      <c r="F53" s="228"/>
      <c r="G53" s="34">
        <f t="shared" si="4"/>
        <v>0</v>
      </c>
    </row>
    <row r="54" spans="1:7" s="268" customFormat="1" ht="19.5" customHeight="1">
      <c r="A54" s="258" t="s">
        <v>233</v>
      </c>
      <c r="B54" s="227" t="s">
        <v>347</v>
      </c>
      <c r="C54" s="259" t="s">
        <v>353</v>
      </c>
      <c r="D54" s="260" t="s">
        <v>20</v>
      </c>
      <c r="E54" s="228">
        <v>1</v>
      </c>
      <c r="F54" s="228"/>
      <c r="G54" s="34">
        <f t="shared" si="4"/>
        <v>0</v>
      </c>
    </row>
    <row r="55" spans="1:7" s="268" customFormat="1" ht="19.5" customHeight="1">
      <c r="A55" s="258" t="s">
        <v>235</v>
      </c>
      <c r="B55" s="227" t="s">
        <v>348</v>
      </c>
      <c r="C55" s="259" t="s">
        <v>354</v>
      </c>
      <c r="D55" s="260" t="s">
        <v>20</v>
      </c>
      <c r="E55" s="228">
        <v>2</v>
      </c>
      <c r="F55" s="228"/>
      <c r="G55" s="34">
        <f t="shared" si="4"/>
        <v>0</v>
      </c>
    </row>
    <row r="56" spans="1:7" s="99" customFormat="1" ht="13.5" thickBot="1">
      <c r="A56" s="270"/>
      <c r="B56" s="271"/>
      <c r="C56" s="272"/>
      <c r="D56" s="271"/>
      <c r="E56" s="291"/>
      <c r="F56" s="292"/>
      <c r="G56" s="275"/>
    </row>
    <row r="57" spans="1:7" s="297" customFormat="1" ht="16.5" customHeight="1" thickBot="1">
      <c r="A57" s="293"/>
      <c r="B57" s="294"/>
      <c r="C57" s="239" t="s">
        <v>24</v>
      </c>
      <c r="D57" s="295"/>
      <c r="E57" s="296"/>
      <c r="F57" s="242"/>
      <c r="G57" s="243">
        <f>SUBTOTAL(9,G49:G56)</f>
        <v>0</v>
      </c>
    </row>
    <row r="58" spans="1:7" s="99" customFormat="1" ht="13.7" customHeight="1" thickBot="1">
      <c r="A58" s="244"/>
      <c r="B58" s="245"/>
      <c r="C58" s="246"/>
      <c r="D58" s="246"/>
      <c r="E58" s="285"/>
      <c r="F58" s="200"/>
      <c r="G58" s="201"/>
    </row>
    <row r="59" spans="1:7" s="210" customFormat="1" ht="16.5" customHeight="1" thickBot="1">
      <c r="A59" s="202" t="s">
        <v>39</v>
      </c>
      <c r="B59" s="203"/>
      <c r="C59" s="204" t="s">
        <v>355</v>
      </c>
      <c r="D59" s="205"/>
      <c r="E59" s="206"/>
      <c r="F59" s="207"/>
      <c r="G59" s="208"/>
    </row>
    <row r="60" spans="1:7" s="99" customFormat="1" ht="12" customHeight="1">
      <c r="A60" s="303"/>
      <c r="B60" s="304"/>
      <c r="C60" s="305"/>
      <c r="D60" s="306"/>
      <c r="E60" s="307"/>
      <c r="F60" s="216"/>
      <c r="G60" s="217"/>
    </row>
    <row r="61" spans="1:7" s="256" customFormat="1" ht="33" customHeight="1">
      <c r="A61" s="47" t="s">
        <v>40</v>
      </c>
      <c r="B61" s="43" t="s">
        <v>356</v>
      </c>
      <c r="C61" s="308" t="s">
        <v>357</v>
      </c>
      <c r="D61" s="260" t="s">
        <v>20</v>
      </c>
      <c r="E61" s="310">
        <v>1</v>
      </c>
      <c r="F61" s="310"/>
      <c r="G61" s="34">
        <f aca="true" t="shared" si="5" ref="G61:G70">$E61*F61</f>
        <v>0</v>
      </c>
    </row>
    <row r="62" spans="1:7" s="256" customFormat="1" ht="42.75" customHeight="1">
      <c r="A62" s="47" t="s">
        <v>580</v>
      </c>
      <c r="B62" s="592"/>
      <c r="C62" s="558" t="s">
        <v>358</v>
      </c>
      <c r="D62" s="260" t="s">
        <v>20</v>
      </c>
      <c r="E62" s="593">
        <v>0.5</v>
      </c>
      <c r="F62" s="593"/>
      <c r="G62" s="34">
        <f t="shared" si="5"/>
        <v>0</v>
      </c>
    </row>
    <row r="63" spans="1:7" s="256" customFormat="1" ht="15.75" customHeight="1">
      <c r="A63" s="47" t="s">
        <v>581</v>
      </c>
      <c r="B63" s="592"/>
      <c r="C63" s="558" t="s">
        <v>359</v>
      </c>
      <c r="D63" s="572" t="s">
        <v>18</v>
      </c>
      <c r="E63" s="593">
        <v>10</v>
      </c>
      <c r="F63" s="593"/>
      <c r="G63" s="34">
        <f t="shared" si="5"/>
        <v>0</v>
      </c>
    </row>
    <row r="64" spans="1:7" s="256" customFormat="1" ht="15.75" customHeight="1">
      <c r="A64" s="47" t="s">
        <v>582</v>
      </c>
      <c r="B64" s="592"/>
      <c r="C64" s="558" t="s">
        <v>360</v>
      </c>
      <c r="D64" s="572" t="s">
        <v>228</v>
      </c>
      <c r="E64" s="593">
        <v>3</v>
      </c>
      <c r="F64" s="593"/>
      <c r="G64" s="34">
        <f t="shared" si="5"/>
        <v>0</v>
      </c>
    </row>
    <row r="65" spans="1:7" s="256" customFormat="1" ht="15.75" customHeight="1">
      <c r="A65" s="47" t="s">
        <v>583</v>
      </c>
      <c r="B65" s="592" t="s">
        <v>367</v>
      </c>
      <c r="C65" s="558" t="s">
        <v>361</v>
      </c>
      <c r="D65" s="260" t="s">
        <v>20</v>
      </c>
      <c r="E65" s="593">
        <v>0</v>
      </c>
      <c r="F65" s="593"/>
      <c r="G65" s="34">
        <f t="shared" si="5"/>
        <v>0</v>
      </c>
    </row>
    <row r="66" spans="1:7" s="256" customFormat="1" ht="15.75" customHeight="1">
      <c r="A66" s="47" t="s">
        <v>584</v>
      </c>
      <c r="B66" s="592" t="s">
        <v>368</v>
      </c>
      <c r="C66" s="558" t="s">
        <v>362</v>
      </c>
      <c r="D66" s="260" t="s">
        <v>20</v>
      </c>
      <c r="E66" s="593">
        <v>0</v>
      </c>
      <c r="F66" s="593"/>
      <c r="G66" s="34">
        <f t="shared" si="5"/>
        <v>0</v>
      </c>
    </row>
    <row r="67" spans="1:7" s="256" customFormat="1" ht="15.75" customHeight="1">
      <c r="A67" s="47" t="s">
        <v>585</v>
      </c>
      <c r="B67" s="592" t="s">
        <v>369</v>
      </c>
      <c r="C67" s="558" t="s">
        <v>363</v>
      </c>
      <c r="D67" s="260" t="s">
        <v>20</v>
      </c>
      <c r="E67" s="593">
        <v>0</v>
      </c>
      <c r="F67" s="593"/>
      <c r="G67" s="34">
        <f t="shared" si="5"/>
        <v>0</v>
      </c>
    </row>
    <row r="68" spans="1:7" s="256" customFormat="1" ht="15.75" customHeight="1">
      <c r="A68" s="47" t="s">
        <v>586</v>
      </c>
      <c r="B68" s="592" t="s">
        <v>370</v>
      </c>
      <c r="C68" s="558" t="s">
        <v>364</v>
      </c>
      <c r="D68" s="260" t="s">
        <v>20</v>
      </c>
      <c r="E68" s="593">
        <v>0</v>
      </c>
      <c r="F68" s="593"/>
      <c r="G68" s="34">
        <f t="shared" si="5"/>
        <v>0</v>
      </c>
    </row>
    <row r="69" spans="1:7" s="256" customFormat="1" ht="15.75" customHeight="1">
      <c r="A69" s="47" t="s">
        <v>587</v>
      </c>
      <c r="B69" s="592" t="s">
        <v>371</v>
      </c>
      <c r="C69" s="558" t="s">
        <v>365</v>
      </c>
      <c r="D69" s="260" t="s">
        <v>20</v>
      </c>
      <c r="E69" s="593">
        <v>0</v>
      </c>
      <c r="F69" s="593"/>
      <c r="G69" s="34">
        <f t="shared" si="5"/>
        <v>0</v>
      </c>
    </row>
    <row r="70" spans="1:7" s="256" customFormat="1" ht="15.75" customHeight="1">
      <c r="A70" s="47" t="s">
        <v>588</v>
      </c>
      <c r="B70" s="592" t="s">
        <v>372</v>
      </c>
      <c r="C70" s="558" t="s">
        <v>366</v>
      </c>
      <c r="D70" s="260" t="s">
        <v>20</v>
      </c>
      <c r="E70" s="593">
        <v>100</v>
      </c>
      <c r="F70" s="593"/>
      <c r="G70" s="34">
        <f t="shared" si="5"/>
        <v>0</v>
      </c>
    </row>
    <row r="71" spans="1:7" s="256" customFormat="1" ht="12" customHeight="1" thickBot="1">
      <c r="A71" s="270"/>
      <c r="B71" s="316"/>
      <c r="C71" s="272"/>
      <c r="D71" s="273"/>
      <c r="E71" s="317"/>
      <c r="F71" s="292"/>
      <c r="G71" s="275"/>
    </row>
    <row r="72" spans="1:7" s="99" customFormat="1" ht="16.5" customHeight="1" thickBot="1">
      <c r="A72" s="318"/>
      <c r="B72" s="319"/>
      <c r="C72" s="239" t="s">
        <v>24</v>
      </c>
      <c r="D72" s="240"/>
      <c r="E72" s="320"/>
      <c r="F72" s="242"/>
      <c r="G72" s="89">
        <f>SUBTOTAL(9,G60:G71)</f>
        <v>0</v>
      </c>
    </row>
    <row r="73" spans="1:7" s="99" customFormat="1" ht="13.7" customHeight="1" thickBot="1">
      <c r="A73" s="321"/>
      <c r="B73" s="279"/>
      <c r="C73" s="246"/>
      <c r="D73" s="246"/>
      <c r="E73" s="322"/>
      <c r="F73" s="200"/>
      <c r="G73" s="201"/>
    </row>
    <row r="74" spans="1:7" s="210" customFormat="1" ht="16.5" customHeight="1" thickBot="1">
      <c r="A74" s="202" t="s">
        <v>41</v>
      </c>
      <c r="B74" s="203"/>
      <c r="C74" s="204" t="s">
        <v>373</v>
      </c>
      <c r="D74" s="205"/>
      <c r="E74" s="206"/>
      <c r="F74" s="207"/>
      <c r="G74" s="208"/>
    </row>
    <row r="75" spans="1:7" s="99" customFormat="1" ht="12" customHeight="1">
      <c r="A75" s="303"/>
      <c r="B75" s="304"/>
      <c r="C75" s="305"/>
      <c r="D75" s="306"/>
      <c r="E75" s="328"/>
      <c r="F75" s="329"/>
      <c r="G75" s="330"/>
    </row>
    <row r="76" spans="1:7" s="256" customFormat="1" ht="18.75" customHeight="1">
      <c r="A76" s="301" t="s">
        <v>42</v>
      </c>
      <c r="B76" s="331" t="s">
        <v>374</v>
      </c>
      <c r="C76" s="332" t="s">
        <v>377</v>
      </c>
      <c r="D76" s="260" t="s">
        <v>20</v>
      </c>
      <c r="E76" s="334">
        <v>1</v>
      </c>
      <c r="F76" s="335"/>
      <c r="G76" s="34">
        <f aca="true" t="shared" si="6" ref="G76:G81">$E76*F76</f>
        <v>0</v>
      </c>
    </row>
    <row r="77" spans="1:7" s="256" customFormat="1" ht="18.75" customHeight="1">
      <c r="A77" s="301" t="s">
        <v>43</v>
      </c>
      <c r="B77" s="331" t="s">
        <v>375</v>
      </c>
      <c r="C77" s="332" t="s">
        <v>378</v>
      </c>
      <c r="D77" s="260" t="s">
        <v>20</v>
      </c>
      <c r="E77" s="334">
        <v>1</v>
      </c>
      <c r="F77" s="335"/>
      <c r="G77" s="34">
        <f t="shared" si="6"/>
        <v>0</v>
      </c>
    </row>
    <row r="78" spans="1:7" s="256" customFormat="1" ht="18.75" customHeight="1">
      <c r="A78" s="301" t="s">
        <v>844</v>
      </c>
      <c r="B78" s="331" t="s">
        <v>376</v>
      </c>
      <c r="C78" s="332" t="s">
        <v>379</v>
      </c>
      <c r="D78" s="260" t="s">
        <v>20</v>
      </c>
      <c r="E78" s="334">
        <v>1</v>
      </c>
      <c r="F78" s="335"/>
      <c r="G78" s="34">
        <f t="shared" si="6"/>
        <v>0</v>
      </c>
    </row>
    <row r="79" spans="1:7" s="256" customFormat="1" ht="18.75" customHeight="1">
      <c r="A79" s="301" t="s">
        <v>845</v>
      </c>
      <c r="B79" s="331"/>
      <c r="C79" s="332" t="s">
        <v>380</v>
      </c>
      <c r="D79" s="572" t="s">
        <v>228</v>
      </c>
      <c r="E79" s="334">
        <v>1</v>
      </c>
      <c r="F79" s="335"/>
      <c r="G79" s="34">
        <f t="shared" si="6"/>
        <v>0</v>
      </c>
    </row>
    <row r="80" spans="1:7" s="256" customFormat="1" ht="18.75" customHeight="1">
      <c r="A80" s="301" t="s">
        <v>846</v>
      </c>
      <c r="B80" s="331"/>
      <c r="C80" s="332" t="s">
        <v>381</v>
      </c>
      <c r="D80" s="572" t="s">
        <v>228</v>
      </c>
      <c r="E80" s="334">
        <v>1</v>
      </c>
      <c r="F80" s="335"/>
      <c r="G80" s="34">
        <f t="shared" si="6"/>
        <v>0</v>
      </c>
    </row>
    <row r="81" spans="1:7" s="256" customFormat="1" ht="18.75" customHeight="1">
      <c r="A81" s="301" t="s">
        <v>847</v>
      </c>
      <c r="B81" s="331"/>
      <c r="C81" s="332" t="s">
        <v>382</v>
      </c>
      <c r="D81" s="572" t="s">
        <v>228</v>
      </c>
      <c r="E81" s="334">
        <v>1</v>
      </c>
      <c r="F81" s="335"/>
      <c r="G81" s="34">
        <f t="shared" si="6"/>
        <v>0</v>
      </c>
    </row>
    <row r="82" spans="1:7" s="99" customFormat="1" ht="12" customHeight="1" thickBot="1">
      <c r="A82" s="180"/>
      <c r="B82" s="323"/>
      <c r="C82" s="234"/>
      <c r="D82" s="235"/>
      <c r="E82" s="324"/>
      <c r="F82" s="184"/>
      <c r="G82" s="185"/>
    </row>
    <row r="83" spans="1:7" s="99" customFormat="1" ht="16.5" customHeight="1" thickBot="1">
      <c r="A83" s="318"/>
      <c r="B83" s="319"/>
      <c r="C83" s="239" t="s">
        <v>24</v>
      </c>
      <c r="D83" s="240"/>
      <c r="E83" s="320"/>
      <c r="F83" s="242"/>
      <c r="G83" s="89">
        <f>SUBTOTAL(9,G75:G82)</f>
        <v>0</v>
      </c>
    </row>
    <row r="84" spans="1:7" s="99" customFormat="1" ht="13.7" customHeight="1" thickBot="1">
      <c r="A84" s="321"/>
      <c r="B84" s="279"/>
      <c r="C84" s="246"/>
      <c r="D84" s="246"/>
      <c r="E84" s="322"/>
      <c r="F84" s="200"/>
      <c r="G84" s="201"/>
    </row>
    <row r="85" spans="1:7" s="355" customFormat="1" ht="30.75" customHeight="1" thickBot="1">
      <c r="A85" s="186"/>
      <c r="B85" s="348"/>
      <c r="C85" s="349" t="s">
        <v>53</v>
      </c>
      <c r="D85" s="349"/>
      <c r="E85" s="350"/>
      <c r="F85" s="351"/>
      <c r="G85" s="352">
        <f>SUBTOTAL(9,G24:G84)</f>
        <v>0</v>
      </c>
    </row>
    <row r="86" ht="12.75">
      <c r="E86" s="359"/>
    </row>
    <row r="87" ht="12.75">
      <c r="E87" s="359"/>
    </row>
    <row r="88" ht="12.75">
      <c r="E88" s="359"/>
    </row>
    <row r="89" ht="12.75">
      <c r="E89" s="359"/>
    </row>
    <row r="90" ht="12.75">
      <c r="E90" s="359"/>
    </row>
    <row r="91" ht="12.75">
      <c r="E91" s="359"/>
    </row>
    <row r="92" ht="12.75">
      <c r="E92" s="359"/>
    </row>
    <row r="93" spans="1:11" s="360" customFormat="1" ht="12.75">
      <c r="A93" s="357"/>
      <c r="B93" s="358"/>
      <c r="C93" s="104"/>
      <c r="D93" s="104"/>
      <c r="E93" s="359"/>
      <c r="G93" s="105"/>
      <c r="H93" s="104"/>
      <c r="I93" s="104"/>
      <c r="J93" s="104"/>
      <c r="K93" s="104"/>
    </row>
    <row r="94" spans="1:11" s="360" customFormat="1" ht="12.75">
      <c r="A94" s="357"/>
      <c r="B94" s="358"/>
      <c r="C94" s="104"/>
      <c r="D94" s="104"/>
      <c r="E94" s="359"/>
      <c r="G94" s="105"/>
      <c r="H94" s="104"/>
      <c r="I94" s="104"/>
      <c r="J94" s="104"/>
      <c r="K94" s="104"/>
    </row>
    <row r="95" spans="1:11" s="360" customFormat="1" ht="12.75">
      <c r="A95" s="357"/>
      <c r="B95" s="358"/>
      <c r="C95" s="104"/>
      <c r="D95" s="104"/>
      <c r="E95" s="359"/>
      <c r="G95" s="105"/>
      <c r="H95" s="104"/>
      <c r="I95" s="104"/>
      <c r="J95" s="104"/>
      <c r="K95" s="104"/>
    </row>
    <row r="96" spans="1:11" s="360" customFormat="1" ht="12.75">
      <c r="A96" s="357"/>
      <c r="B96" s="358"/>
      <c r="C96" s="104"/>
      <c r="D96" s="104"/>
      <c r="E96" s="359"/>
      <c r="G96" s="105"/>
      <c r="H96" s="104"/>
      <c r="I96" s="104"/>
      <c r="J96" s="104"/>
      <c r="K96" s="104"/>
    </row>
    <row r="97" spans="1:11" s="360" customFormat="1" ht="12.75">
      <c r="A97" s="357"/>
      <c r="B97" s="358"/>
      <c r="C97" s="104"/>
      <c r="D97" s="104"/>
      <c r="E97" s="359"/>
      <c r="G97" s="105"/>
      <c r="H97" s="104"/>
      <c r="I97" s="104"/>
      <c r="J97" s="104"/>
      <c r="K97" s="104"/>
    </row>
    <row r="98" spans="1:11" s="360" customFormat="1" ht="12.75">
      <c r="A98" s="357"/>
      <c r="B98" s="358"/>
      <c r="C98" s="104"/>
      <c r="D98" s="104"/>
      <c r="E98" s="359"/>
      <c r="G98" s="105"/>
      <c r="H98" s="104"/>
      <c r="I98" s="104"/>
      <c r="J98" s="104"/>
      <c r="K98" s="104"/>
    </row>
    <row r="99" spans="1:11" s="360" customFormat="1" ht="12.75">
      <c r="A99" s="357"/>
      <c r="B99" s="358"/>
      <c r="C99" s="104"/>
      <c r="D99" s="104"/>
      <c r="E99" s="359"/>
      <c r="G99" s="105"/>
      <c r="H99" s="104"/>
      <c r="I99" s="104"/>
      <c r="J99" s="104"/>
      <c r="K99" s="104"/>
    </row>
    <row r="100" spans="1:11" s="360" customFormat="1" ht="12.75">
      <c r="A100" s="357"/>
      <c r="B100" s="358"/>
      <c r="C100" s="104"/>
      <c r="D100" s="104"/>
      <c r="E100" s="359"/>
      <c r="G100" s="105"/>
      <c r="H100" s="104"/>
      <c r="I100" s="104"/>
      <c r="J100" s="104"/>
      <c r="K100" s="104"/>
    </row>
    <row r="101" spans="1:11" s="360" customFormat="1" ht="12.75">
      <c r="A101" s="357"/>
      <c r="B101" s="358"/>
      <c r="C101" s="104"/>
      <c r="D101" s="104"/>
      <c r="E101" s="359"/>
      <c r="G101" s="105"/>
      <c r="H101" s="104"/>
      <c r="I101" s="104"/>
      <c r="J101" s="104"/>
      <c r="K101" s="104"/>
    </row>
    <row r="102" spans="1:11" s="360" customFormat="1" ht="12.75">
      <c r="A102" s="357"/>
      <c r="B102" s="358"/>
      <c r="C102" s="104"/>
      <c r="D102" s="104"/>
      <c r="E102" s="359"/>
      <c r="G102" s="105"/>
      <c r="H102" s="104"/>
      <c r="I102" s="104"/>
      <c r="J102" s="104"/>
      <c r="K102" s="104"/>
    </row>
    <row r="103" spans="1:11" s="360" customFormat="1" ht="12.75">
      <c r="A103" s="357"/>
      <c r="B103" s="358"/>
      <c r="C103" s="104"/>
      <c r="D103" s="104"/>
      <c r="E103" s="359"/>
      <c r="G103" s="105"/>
      <c r="H103" s="104"/>
      <c r="I103" s="104"/>
      <c r="J103" s="104"/>
      <c r="K103" s="104"/>
    </row>
    <row r="104" spans="1:11" s="360" customFormat="1" ht="12.75">
      <c r="A104" s="357"/>
      <c r="B104" s="358"/>
      <c r="C104" s="104"/>
      <c r="D104" s="104"/>
      <c r="E104" s="359"/>
      <c r="G104" s="105"/>
      <c r="H104" s="104"/>
      <c r="I104" s="104"/>
      <c r="J104" s="104"/>
      <c r="K104" s="104"/>
    </row>
    <row r="105" spans="1:11" s="360" customFormat="1" ht="12.75">
      <c r="A105" s="357"/>
      <c r="B105" s="358"/>
      <c r="C105" s="104"/>
      <c r="D105" s="104"/>
      <c r="E105" s="359"/>
      <c r="G105" s="105"/>
      <c r="H105" s="104"/>
      <c r="I105" s="104"/>
      <c r="J105" s="104"/>
      <c r="K105" s="104"/>
    </row>
    <row r="106" spans="1:11" s="360" customFormat="1" ht="12.75">
      <c r="A106" s="357"/>
      <c r="B106" s="358"/>
      <c r="C106" s="104"/>
      <c r="D106" s="104"/>
      <c r="E106" s="359"/>
      <c r="G106" s="105"/>
      <c r="H106" s="104"/>
      <c r="I106" s="104"/>
      <c r="J106" s="104"/>
      <c r="K106" s="104"/>
    </row>
    <row r="107" spans="1:11" s="360" customFormat="1" ht="12.75">
      <c r="A107" s="357"/>
      <c r="B107" s="358"/>
      <c r="C107" s="104"/>
      <c r="D107" s="104"/>
      <c r="E107" s="359"/>
      <c r="G107" s="105"/>
      <c r="H107" s="104"/>
      <c r="I107" s="104"/>
      <c r="J107" s="104"/>
      <c r="K107" s="104"/>
    </row>
    <row r="108" spans="1:11" s="360" customFormat="1" ht="12.75">
      <c r="A108" s="357"/>
      <c r="B108" s="358"/>
      <c r="C108" s="104"/>
      <c r="D108" s="104"/>
      <c r="E108" s="359"/>
      <c r="G108" s="105"/>
      <c r="H108" s="104"/>
      <c r="I108" s="104"/>
      <c r="J108" s="104"/>
      <c r="K108" s="104"/>
    </row>
    <row r="109" spans="1:11" s="360" customFormat="1" ht="12.75">
      <c r="A109" s="357"/>
      <c r="B109" s="358"/>
      <c r="C109" s="104"/>
      <c r="D109" s="104"/>
      <c r="E109" s="359"/>
      <c r="G109" s="105"/>
      <c r="H109" s="104"/>
      <c r="I109" s="104"/>
      <c r="J109" s="104"/>
      <c r="K109" s="104"/>
    </row>
    <row r="110" spans="1:11" s="360" customFormat="1" ht="12.75">
      <c r="A110" s="357"/>
      <c r="B110" s="358"/>
      <c r="C110" s="104"/>
      <c r="D110" s="104"/>
      <c r="E110" s="359"/>
      <c r="G110" s="105"/>
      <c r="H110" s="104"/>
      <c r="I110" s="104"/>
      <c r="J110" s="104"/>
      <c r="K110" s="104"/>
    </row>
    <row r="111" spans="1:11" s="360" customFormat="1" ht="12.75">
      <c r="A111" s="357"/>
      <c r="B111" s="358"/>
      <c r="C111" s="104"/>
      <c r="D111" s="104"/>
      <c r="E111" s="359"/>
      <c r="G111" s="105"/>
      <c r="H111" s="104"/>
      <c r="I111" s="104"/>
      <c r="J111" s="104"/>
      <c r="K111" s="104"/>
    </row>
    <row r="112" spans="1:11" s="360" customFormat="1" ht="12.75">
      <c r="A112" s="357"/>
      <c r="B112" s="358"/>
      <c r="C112" s="104"/>
      <c r="D112" s="104"/>
      <c r="E112" s="359"/>
      <c r="G112" s="105"/>
      <c r="H112" s="104"/>
      <c r="I112" s="104"/>
      <c r="J112" s="104"/>
      <c r="K112" s="104"/>
    </row>
    <row r="113" spans="1:11" s="360" customFormat="1" ht="12.75">
      <c r="A113" s="357"/>
      <c r="B113" s="358"/>
      <c r="C113" s="104"/>
      <c r="D113" s="104"/>
      <c r="E113" s="359"/>
      <c r="G113" s="105"/>
      <c r="H113" s="104"/>
      <c r="I113" s="104"/>
      <c r="J113" s="104"/>
      <c r="K113" s="104"/>
    </row>
    <row r="114" spans="1:11" s="360" customFormat="1" ht="12.75">
      <c r="A114" s="357"/>
      <c r="B114" s="358"/>
      <c r="C114" s="104"/>
      <c r="D114" s="104"/>
      <c r="E114" s="359"/>
      <c r="G114" s="105"/>
      <c r="H114" s="104"/>
      <c r="I114" s="104"/>
      <c r="J114" s="104"/>
      <c r="K114" s="104"/>
    </row>
    <row r="115" spans="1:11" s="360" customFormat="1" ht="12.75">
      <c r="A115" s="357"/>
      <c r="B115" s="358"/>
      <c r="C115" s="104"/>
      <c r="D115" s="104"/>
      <c r="E115" s="359"/>
      <c r="G115" s="105"/>
      <c r="H115" s="104"/>
      <c r="I115" s="104"/>
      <c r="J115" s="104"/>
      <c r="K115" s="104"/>
    </row>
    <row r="116" spans="1:11" s="360" customFormat="1" ht="12.75">
      <c r="A116" s="357"/>
      <c r="B116" s="358"/>
      <c r="C116" s="104"/>
      <c r="D116" s="104"/>
      <c r="E116" s="359"/>
      <c r="G116" s="105"/>
      <c r="H116" s="104"/>
      <c r="I116" s="104"/>
      <c r="J116" s="104"/>
      <c r="K116" s="104"/>
    </row>
    <row r="117" spans="1:11" s="360" customFormat="1" ht="12.75">
      <c r="A117" s="357"/>
      <c r="B117" s="358"/>
      <c r="C117" s="104"/>
      <c r="D117" s="104"/>
      <c r="E117" s="359"/>
      <c r="G117" s="105"/>
      <c r="H117" s="104"/>
      <c r="I117" s="104"/>
      <c r="J117" s="104"/>
      <c r="K117" s="104"/>
    </row>
    <row r="118" spans="1:11" s="360" customFormat="1" ht="12.75">
      <c r="A118" s="357"/>
      <c r="B118" s="358"/>
      <c r="C118" s="104"/>
      <c r="D118" s="104"/>
      <c r="E118" s="359"/>
      <c r="G118" s="105"/>
      <c r="H118" s="104"/>
      <c r="I118" s="104"/>
      <c r="J118" s="104"/>
      <c r="K118" s="104"/>
    </row>
    <row r="119" spans="1:11" s="360" customFormat="1" ht="12.75">
      <c r="A119" s="357"/>
      <c r="B119" s="358"/>
      <c r="C119" s="104"/>
      <c r="D119" s="104"/>
      <c r="E119" s="359"/>
      <c r="G119" s="105"/>
      <c r="H119" s="104"/>
      <c r="I119" s="104"/>
      <c r="J119" s="104"/>
      <c r="K119" s="104"/>
    </row>
    <row r="120" spans="1:11" s="360" customFormat="1" ht="12.75">
      <c r="A120" s="357"/>
      <c r="B120" s="358"/>
      <c r="C120" s="104"/>
      <c r="D120" s="104"/>
      <c r="E120" s="359"/>
      <c r="G120" s="105"/>
      <c r="H120" s="104"/>
      <c r="I120" s="104"/>
      <c r="J120" s="104"/>
      <c r="K120" s="104"/>
    </row>
    <row r="121" spans="1:11" s="360" customFormat="1" ht="12.75">
      <c r="A121" s="357"/>
      <c r="B121" s="358"/>
      <c r="C121" s="104"/>
      <c r="D121" s="104"/>
      <c r="E121" s="359"/>
      <c r="G121" s="105"/>
      <c r="H121" s="104"/>
      <c r="I121" s="104"/>
      <c r="J121" s="104"/>
      <c r="K121" s="104"/>
    </row>
    <row r="122" spans="1:11" s="360" customFormat="1" ht="12.75">
      <c r="A122" s="357"/>
      <c r="B122" s="358"/>
      <c r="C122" s="104"/>
      <c r="D122" s="104"/>
      <c r="E122" s="359"/>
      <c r="G122" s="105"/>
      <c r="H122" s="104"/>
      <c r="I122" s="104"/>
      <c r="J122" s="104"/>
      <c r="K122" s="104"/>
    </row>
    <row r="123" spans="1:11" s="360" customFormat="1" ht="12.75">
      <c r="A123" s="357"/>
      <c r="B123" s="358"/>
      <c r="C123" s="104"/>
      <c r="D123" s="104"/>
      <c r="E123" s="359"/>
      <c r="G123" s="105"/>
      <c r="H123" s="104"/>
      <c r="I123" s="104"/>
      <c r="J123" s="104"/>
      <c r="K123" s="104"/>
    </row>
    <row r="124" spans="1:11" s="360" customFormat="1" ht="12.75">
      <c r="A124" s="357"/>
      <c r="B124" s="358"/>
      <c r="C124" s="104"/>
      <c r="D124" s="104"/>
      <c r="E124" s="359"/>
      <c r="G124" s="105"/>
      <c r="H124" s="104"/>
      <c r="I124" s="104"/>
      <c r="J124" s="104"/>
      <c r="K124" s="104"/>
    </row>
    <row r="125" spans="1:11" s="360" customFormat="1" ht="12.75">
      <c r="A125" s="357"/>
      <c r="B125" s="358"/>
      <c r="C125" s="104"/>
      <c r="D125" s="104"/>
      <c r="E125" s="359"/>
      <c r="G125" s="105"/>
      <c r="H125" s="104"/>
      <c r="I125" s="104"/>
      <c r="J125" s="104"/>
      <c r="K125" s="104"/>
    </row>
    <row r="126" spans="1:11" s="360" customFormat="1" ht="12.75">
      <c r="A126" s="357"/>
      <c r="B126" s="358"/>
      <c r="C126" s="104"/>
      <c r="D126" s="104"/>
      <c r="E126" s="359"/>
      <c r="G126" s="105"/>
      <c r="H126" s="104"/>
      <c r="I126" s="104"/>
      <c r="J126" s="104"/>
      <c r="K126" s="104"/>
    </row>
    <row r="127" spans="1:11" s="360" customFormat="1" ht="12.75">
      <c r="A127" s="357"/>
      <c r="B127" s="358"/>
      <c r="C127" s="104"/>
      <c r="D127" s="104"/>
      <c r="E127" s="359"/>
      <c r="G127" s="105"/>
      <c r="H127" s="104"/>
      <c r="I127" s="104"/>
      <c r="J127" s="104"/>
      <c r="K127" s="104"/>
    </row>
    <row r="128" spans="1:11" s="360" customFormat="1" ht="12.75">
      <c r="A128" s="357"/>
      <c r="B128" s="358"/>
      <c r="C128" s="104"/>
      <c r="D128" s="104"/>
      <c r="E128" s="359"/>
      <c r="G128" s="105"/>
      <c r="H128" s="104"/>
      <c r="I128" s="104"/>
      <c r="J128" s="104"/>
      <c r="K128" s="104"/>
    </row>
    <row r="129" spans="1:11" s="360" customFormat="1" ht="12.75">
      <c r="A129" s="357"/>
      <c r="B129" s="358"/>
      <c r="C129" s="104"/>
      <c r="D129" s="104"/>
      <c r="E129" s="359"/>
      <c r="G129" s="105"/>
      <c r="H129" s="104"/>
      <c r="I129" s="104"/>
      <c r="J129" s="104"/>
      <c r="K129" s="104"/>
    </row>
    <row r="130" spans="1:11" s="360" customFormat="1" ht="12.75">
      <c r="A130" s="357"/>
      <c r="B130" s="358"/>
      <c r="C130" s="104"/>
      <c r="D130" s="104"/>
      <c r="E130" s="359"/>
      <c r="G130" s="105"/>
      <c r="H130" s="104"/>
      <c r="I130" s="104"/>
      <c r="J130" s="104"/>
      <c r="K130" s="104"/>
    </row>
    <row r="131" spans="1:11" s="360" customFormat="1" ht="12.75">
      <c r="A131" s="357"/>
      <c r="B131" s="358"/>
      <c r="C131" s="104"/>
      <c r="D131" s="104"/>
      <c r="E131" s="359"/>
      <c r="G131" s="105"/>
      <c r="H131" s="104"/>
      <c r="I131" s="104"/>
      <c r="J131" s="104"/>
      <c r="K131" s="104"/>
    </row>
    <row r="132" spans="1:11" s="360" customFormat="1" ht="12.75">
      <c r="A132" s="357"/>
      <c r="B132" s="358"/>
      <c r="C132" s="104"/>
      <c r="D132" s="104"/>
      <c r="E132" s="359"/>
      <c r="G132" s="105"/>
      <c r="H132" s="104"/>
      <c r="I132" s="104"/>
      <c r="J132" s="104"/>
      <c r="K132" s="104"/>
    </row>
    <row r="133" spans="1:11" s="360" customFormat="1" ht="12.75">
      <c r="A133" s="357"/>
      <c r="B133" s="358"/>
      <c r="C133" s="104"/>
      <c r="D133" s="104"/>
      <c r="E133" s="359"/>
      <c r="G133" s="105"/>
      <c r="H133" s="104"/>
      <c r="I133" s="104"/>
      <c r="J133" s="104"/>
      <c r="K133" s="104"/>
    </row>
    <row r="134" spans="1:11" s="360" customFormat="1" ht="12.75">
      <c r="A134" s="357"/>
      <c r="B134" s="358"/>
      <c r="C134" s="104"/>
      <c r="D134" s="104"/>
      <c r="E134" s="359"/>
      <c r="G134" s="105"/>
      <c r="H134" s="104"/>
      <c r="I134" s="104"/>
      <c r="J134" s="104"/>
      <c r="K134" s="104"/>
    </row>
    <row r="135" spans="1:11" s="360" customFormat="1" ht="12.75">
      <c r="A135" s="357"/>
      <c r="B135" s="358"/>
      <c r="C135" s="104"/>
      <c r="D135" s="104"/>
      <c r="E135" s="359"/>
      <c r="G135" s="105"/>
      <c r="H135" s="104"/>
      <c r="I135" s="104"/>
      <c r="J135" s="104"/>
      <c r="K135" s="104"/>
    </row>
    <row r="136" spans="1:11" s="360" customFormat="1" ht="12.75">
      <c r="A136" s="357"/>
      <c r="B136" s="358"/>
      <c r="C136" s="104"/>
      <c r="D136" s="104"/>
      <c r="E136" s="359"/>
      <c r="G136" s="105"/>
      <c r="H136" s="104"/>
      <c r="I136" s="104"/>
      <c r="J136" s="104"/>
      <c r="K136" s="104"/>
    </row>
    <row r="137" spans="1:11" s="360" customFormat="1" ht="12.75">
      <c r="A137" s="357"/>
      <c r="B137" s="358"/>
      <c r="C137" s="104"/>
      <c r="D137" s="104"/>
      <c r="E137" s="359"/>
      <c r="G137" s="105"/>
      <c r="H137" s="104"/>
      <c r="I137" s="104"/>
      <c r="J137" s="104"/>
      <c r="K137" s="104"/>
    </row>
    <row r="138" spans="1:11" s="360" customFormat="1" ht="12.75">
      <c r="A138" s="357"/>
      <c r="B138" s="358"/>
      <c r="C138" s="104"/>
      <c r="D138" s="104"/>
      <c r="E138" s="359"/>
      <c r="G138" s="105"/>
      <c r="H138" s="104"/>
      <c r="I138" s="104"/>
      <c r="J138" s="104"/>
      <c r="K138" s="104"/>
    </row>
    <row r="139" spans="1:11" s="360" customFormat="1" ht="12.75">
      <c r="A139" s="357"/>
      <c r="B139" s="358"/>
      <c r="C139" s="104"/>
      <c r="D139" s="104"/>
      <c r="E139" s="359"/>
      <c r="G139" s="105"/>
      <c r="H139" s="104"/>
      <c r="I139" s="104"/>
      <c r="J139" s="104"/>
      <c r="K139" s="104"/>
    </row>
    <row r="140" spans="1:11" s="360" customFormat="1" ht="12.75">
      <c r="A140" s="357"/>
      <c r="B140" s="358"/>
      <c r="C140" s="104"/>
      <c r="D140" s="104"/>
      <c r="E140" s="359"/>
      <c r="G140" s="105"/>
      <c r="H140" s="104"/>
      <c r="I140" s="104"/>
      <c r="J140" s="104"/>
      <c r="K140" s="104"/>
    </row>
    <row r="141" spans="1:11" s="360" customFormat="1" ht="12.75">
      <c r="A141" s="357"/>
      <c r="B141" s="358"/>
      <c r="C141" s="104"/>
      <c r="D141" s="104"/>
      <c r="E141" s="359"/>
      <c r="G141" s="105"/>
      <c r="H141" s="104"/>
      <c r="I141" s="104"/>
      <c r="J141" s="104"/>
      <c r="K141" s="104"/>
    </row>
    <row r="142" spans="1:11" s="360" customFormat="1" ht="12.75">
      <c r="A142" s="357"/>
      <c r="B142" s="358"/>
      <c r="C142" s="104"/>
      <c r="D142" s="104"/>
      <c r="E142" s="359"/>
      <c r="G142" s="105"/>
      <c r="H142" s="104"/>
      <c r="I142" s="104"/>
      <c r="J142" s="104"/>
      <c r="K142" s="104"/>
    </row>
    <row r="143" spans="1:11" s="360" customFormat="1" ht="12.75">
      <c r="A143" s="357"/>
      <c r="B143" s="358"/>
      <c r="C143" s="104"/>
      <c r="D143" s="104"/>
      <c r="E143" s="359"/>
      <c r="G143" s="105"/>
      <c r="H143" s="104"/>
      <c r="I143" s="104"/>
      <c r="J143" s="104"/>
      <c r="K143" s="104"/>
    </row>
    <row r="144" spans="1:11" s="360" customFormat="1" ht="12.75">
      <c r="A144" s="357"/>
      <c r="B144" s="358"/>
      <c r="C144" s="104"/>
      <c r="D144" s="104"/>
      <c r="E144" s="359"/>
      <c r="G144" s="105"/>
      <c r="H144" s="104"/>
      <c r="I144" s="104"/>
      <c r="J144" s="104"/>
      <c r="K144" s="104"/>
    </row>
    <row r="145" spans="1:11" s="360" customFormat="1" ht="12.75">
      <c r="A145" s="357"/>
      <c r="B145" s="358"/>
      <c r="C145" s="104"/>
      <c r="D145" s="104"/>
      <c r="E145" s="359"/>
      <c r="G145" s="105"/>
      <c r="H145" s="104"/>
      <c r="I145" s="104"/>
      <c r="J145" s="104"/>
      <c r="K145" s="104"/>
    </row>
    <row r="146" spans="1:11" s="360" customFormat="1" ht="12.75">
      <c r="A146" s="357"/>
      <c r="B146" s="358"/>
      <c r="C146" s="104"/>
      <c r="D146" s="104"/>
      <c r="E146" s="359"/>
      <c r="G146" s="105"/>
      <c r="H146" s="104"/>
      <c r="I146" s="104"/>
      <c r="J146" s="104"/>
      <c r="K146" s="104"/>
    </row>
    <row r="147" spans="1:11" s="360" customFormat="1" ht="12.75">
      <c r="A147" s="357"/>
      <c r="B147" s="358"/>
      <c r="C147" s="104"/>
      <c r="D147" s="104"/>
      <c r="E147" s="359"/>
      <c r="G147" s="105"/>
      <c r="H147" s="104"/>
      <c r="I147" s="104"/>
      <c r="J147" s="104"/>
      <c r="K147" s="104"/>
    </row>
    <row r="148" spans="1:11" s="360" customFormat="1" ht="12.75">
      <c r="A148" s="357"/>
      <c r="B148" s="358"/>
      <c r="C148" s="104"/>
      <c r="D148" s="104"/>
      <c r="E148" s="359"/>
      <c r="G148" s="105"/>
      <c r="H148" s="104"/>
      <c r="I148" s="104"/>
      <c r="J148" s="104"/>
      <c r="K148" s="104"/>
    </row>
  </sheetData>
  <mergeCells count="1">
    <mergeCell ref="C3:D3"/>
  </mergeCells>
  <printOptions/>
  <pageMargins left="0.4724409448818898" right="0.31496062992125984" top="0.6692913385826772" bottom="0.9448818897637796" header="0.4724409448818898" footer="0.4724409448818898"/>
  <pageSetup fitToHeight="99" horizontalDpi="600" verticalDpi="600" orientation="portrait" paperSize="9" scale="80" r:id="rId1"/>
  <headerFooter alignWithMargins="0">
    <oddFooter>&amp;L&amp;F
&amp;A&amp;C&amp;P/&amp;N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BG252"/>
  <sheetViews>
    <sheetView showGridLines="0" view="pageBreakPreview" zoomScaleSheetLayoutView="100" workbookViewId="0" topLeftCell="A2">
      <selection activeCell="G6" sqref="G6"/>
    </sheetView>
  </sheetViews>
  <sheetFormatPr defaultColWidth="9.140625" defaultRowHeight="12.75"/>
  <cols>
    <col min="1" max="1" width="6.8515625" style="357" customWidth="1"/>
    <col min="2" max="2" width="15.140625" style="358" customWidth="1"/>
    <col min="3" max="3" width="47.8515625" style="104" customWidth="1"/>
    <col min="4" max="4" width="10.28125" style="104" customWidth="1"/>
    <col min="5" max="5" width="10.8515625" style="361" customWidth="1"/>
    <col min="6" max="6" width="11.421875" style="360" customWidth="1"/>
    <col min="7" max="7" width="18.140625" style="105" customWidth="1"/>
    <col min="8" max="8" width="14.421875" style="119" customWidth="1"/>
    <col min="9" max="9" width="14.57421875" style="119" customWidth="1"/>
    <col min="10" max="10" width="10.00390625" style="119" customWidth="1"/>
    <col min="11" max="11" width="17.28125" style="119" customWidth="1"/>
    <col min="12" max="12" width="11.7109375" style="98" bestFit="1" customWidth="1"/>
    <col min="13" max="13" width="12.8515625" style="98" bestFit="1" customWidth="1"/>
    <col min="14" max="14" width="11.28125" style="98" bestFit="1" customWidth="1"/>
    <col min="15" max="16" width="9.140625" style="98" customWidth="1"/>
    <col min="17" max="17" width="11.28125" style="98" bestFit="1" customWidth="1"/>
    <col min="18" max="18" width="9.140625" style="98" customWidth="1"/>
    <col min="19" max="19" width="9.140625" style="104" customWidth="1"/>
    <col min="20" max="20" width="10.140625" style="105" bestFit="1" customWidth="1"/>
    <col min="21" max="26" width="9.140625" style="104" customWidth="1"/>
    <col min="27" max="29" width="9.28125" style="104" bestFit="1" customWidth="1"/>
    <col min="30" max="53" width="9.140625" style="104" customWidth="1"/>
    <col min="54" max="54" width="9.28125" style="104" bestFit="1" customWidth="1"/>
    <col min="55" max="55" width="11.00390625" style="104" bestFit="1" customWidth="1"/>
    <col min="56" max="59" width="9.28125" style="104" bestFit="1" customWidth="1"/>
    <col min="60" max="16384" width="9.140625" style="104" customWidth="1"/>
  </cols>
  <sheetData>
    <row r="1" spans="1:20" s="39" customFormat="1" ht="57" customHeight="1">
      <c r="A1" s="387" t="s">
        <v>0</v>
      </c>
      <c r="B1" s="388"/>
      <c r="C1" s="389" t="s">
        <v>84</v>
      </c>
      <c r="D1" s="390"/>
      <c r="E1" s="390"/>
      <c r="F1" s="391"/>
      <c r="G1" s="392" t="s">
        <v>1</v>
      </c>
      <c r="H1" s="393"/>
      <c r="I1" s="393"/>
      <c r="J1" s="393"/>
      <c r="K1" s="393"/>
      <c r="L1" s="38"/>
      <c r="M1" s="38"/>
      <c r="N1" s="38"/>
      <c r="O1" s="38"/>
      <c r="P1" s="38"/>
      <c r="Q1" s="38"/>
      <c r="R1" s="38"/>
      <c r="T1" s="40"/>
    </row>
    <row r="2" spans="1:20" s="88" customFormat="1" ht="29.25" customHeight="1">
      <c r="A2" s="394" t="s">
        <v>2</v>
      </c>
      <c r="B2" s="395"/>
      <c r="C2" s="520" t="s">
        <v>103</v>
      </c>
      <c r="D2" s="102"/>
      <c r="E2" s="396"/>
      <c r="F2" s="397"/>
      <c r="G2" s="398" t="s">
        <v>3</v>
      </c>
      <c r="H2" s="393"/>
      <c r="I2" s="393"/>
      <c r="J2" s="393"/>
      <c r="K2" s="393"/>
      <c r="L2" s="38"/>
      <c r="M2" s="38"/>
      <c r="N2" s="38"/>
      <c r="O2" s="38"/>
      <c r="P2" s="38"/>
      <c r="Q2" s="38"/>
      <c r="R2" s="38"/>
      <c r="T2" s="399"/>
    </row>
    <row r="3" spans="1:20" s="405" customFormat="1" ht="70.5" customHeight="1">
      <c r="A3" s="394" t="s">
        <v>4</v>
      </c>
      <c r="B3" s="395"/>
      <c r="C3" s="657" t="s">
        <v>178</v>
      </c>
      <c r="D3" s="658"/>
      <c r="E3" s="400"/>
      <c r="F3" s="401"/>
      <c r="G3" s="1" t="s">
        <v>237</v>
      </c>
      <c r="H3" s="402"/>
      <c r="I3" s="403"/>
      <c r="J3" s="402"/>
      <c r="K3" s="402"/>
      <c r="L3" s="404"/>
      <c r="M3" s="404"/>
      <c r="N3" s="404"/>
      <c r="O3" s="404"/>
      <c r="P3" s="404"/>
      <c r="Q3" s="404"/>
      <c r="R3" s="404"/>
      <c r="T3" s="406"/>
    </row>
    <row r="4" spans="1:20" s="286" customFormat="1" ht="24" customHeight="1">
      <c r="A4" s="518"/>
      <c r="B4" s="107"/>
      <c r="C4" s="108" t="s">
        <v>848</v>
      </c>
      <c r="D4" s="109"/>
      <c r="E4" s="407"/>
      <c r="F4" s="110"/>
      <c r="G4" s="111"/>
      <c r="H4" s="283"/>
      <c r="I4" s="283"/>
      <c r="J4" s="283"/>
      <c r="K4" s="283"/>
      <c r="L4" s="255"/>
      <c r="M4" s="255"/>
      <c r="N4" s="255"/>
      <c r="O4" s="255"/>
      <c r="P4" s="255"/>
      <c r="Q4" s="255"/>
      <c r="R4" s="255"/>
      <c r="T4" s="408"/>
    </row>
    <row r="5" spans="1:7" ht="5.25" customHeight="1" thickBot="1">
      <c r="A5" s="113"/>
      <c r="B5" s="114"/>
      <c r="C5" s="115"/>
      <c r="D5" s="115"/>
      <c r="E5" s="116"/>
      <c r="F5" s="117"/>
      <c r="G5" s="118"/>
    </row>
    <row r="6" spans="1:20" s="128" customFormat="1" ht="51.75" customHeight="1" thickBot="1">
      <c r="A6" s="120" t="s">
        <v>5</v>
      </c>
      <c r="B6" s="121"/>
      <c r="C6" s="122" t="s">
        <v>6</v>
      </c>
      <c r="D6" s="123" t="s">
        <v>7</v>
      </c>
      <c r="E6" s="124" t="s">
        <v>8</v>
      </c>
      <c r="F6" s="125" t="s">
        <v>9</v>
      </c>
      <c r="G6" s="126" t="s">
        <v>10</v>
      </c>
      <c r="H6" s="119"/>
      <c r="I6" s="119"/>
      <c r="J6" s="119"/>
      <c r="K6" s="119"/>
      <c r="L6" s="127"/>
      <c r="M6" s="127"/>
      <c r="N6" s="127"/>
      <c r="O6" s="127"/>
      <c r="P6" s="127"/>
      <c r="Q6" s="127"/>
      <c r="R6" s="127"/>
      <c r="T6" s="129"/>
    </row>
    <row r="7" spans="1:20" s="139" customFormat="1" ht="24" customHeight="1" thickTop="1">
      <c r="A7" s="130"/>
      <c r="B7" s="131"/>
      <c r="C7" s="132" t="s">
        <v>11</v>
      </c>
      <c r="D7" s="133"/>
      <c r="E7" s="134"/>
      <c r="F7" s="135"/>
      <c r="G7" s="136"/>
      <c r="H7" s="137"/>
      <c r="I7" s="137"/>
      <c r="J7" s="137"/>
      <c r="K7" s="137"/>
      <c r="L7" s="138"/>
      <c r="M7" s="138"/>
      <c r="N7" s="138"/>
      <c r="O7" s="138"/>
      <c r="P7" s="138"/>
      <c r="Q7" s="138"/>
      <c r="R7" s="138"/>
      <c r="T7" s="140"/>
    </row>
    <row r="8" spans="1:7" s="139" customFormat="1" ht="28.5" customHeight="1">
      <c r="A8" s="130"/>
      <c r="B8" s="131"/>
      <c r="C8" s="229"/>
      <c r="D8" s="133"/>
      <c r="E8" s="134"/>
      <c r="F8" s="135"/>
      <c r="G8" s="136"/>
    </row>
    <row r="9" spans="1:20" s="9" customFormat="1" ht="6" customHeight="1">
      <c r="A9" s="2"/>
      <c r="B9" s="3"/>
      <c r="C9" s="4"/>
      <c r="D9" s="5"/>
      <c r="E9" s="5"/>
      <c r="F9" s="5"/>
      <c r="G9" s="6"/>
      <c r="H9" s="7"/>
      <c r="I9" s="7"/>
      <c r="J9" s="7"/>
      <c r="K9" s="7"/>
      <c r="L9" s="8"/>
      <c r="M9" s="8"/>
      <c r="N9" s="8"/>
      <c r="O9" s="8"/>
      <c r="P9" s="8"/>
      <c r="Q9" s="8"/>
      <c r="R9" s="8"/>
      <c r="T9" s="10"/>
    </row>
    <row r="10" spans="1:20" s="128" customFormat="1" ht="10.5" customHeight="1">
      <c r="A10" s="141"/>
      <c r="B10" s="142"/>
      <c r="C10" s="11"/>
      <c r="D10" s="143"/>
      <c r="E10" s="144"/>
      <c r="F10" s="145"/>
      <c r="G10" s="146"/>
      <c r="H10" s="119"/>
      <c r="I10" s="119"/>
      <c r="J10" s="119"/>
      <c r="K10" s="119"/>
      <c r="L10" s="127"/>
      <c r="M10" s="127"/>
      <c r="N10" s="127"/>
      <c r="O10" s="127"/>
      <c r="P10" s="127"/>
      <c r="Q10" s="127"/>
      <c r="R10" s="127"/>
      <c r="T10" s="129"/>
    </row>
    <row r="11" spans="1:20" s="99" customFormat="1" ht="18" customHeight="1">
      <c r="A11" s="147"/>
      <c r="B11" s="148"/>
      <c r="C11" s="149" t="s">
        <v>12</v>
      </c>
      <c r="D11" s="150"/>
      <c r="E11" s="151"/>
      <c r="F11" s="152"/>
      <c r="G11" s="153"/>
      <c r="H11" s="119"/>
      <c r="I11" s="119"/>
      <c r="J11" s="119"/>
      <c r="K11" s="119"/>
      <c r="L11" s="98"/>
      <c r="M11" s="98"/>
      <c r="N11" s="98"/>
      <c r="O11" s="98"/>
      <c r="P11" s="98"/>
      <c r="Q11" s="98"/>
      <c r="R11" s="98"/>
      <c r="T11" s="100"/>
    </row>
    <row r="12" spans="1:20" s="161" customFormat="1" ht="10.5" customHeight="1">
      <c r="A12" s="147"/>
      <c r="B12" s="154"/>
      <c r="C12" s="155"/>
      <c r="D12" s="156"/>
      <c r="E12" s="157"/>
      <c r="F12" s="158"/>
      <c r="G12" s="159"/>
      <c r="H12" s="119"/>
      <c r="I12" s="119"/>
      <c r="J12" s="119"/>
      <c r="K12" s="119"/>
      <c r="L12" s="160"/>
      <c r="M12" s="160"/>
      <c r="N12" s="160"/>
      <c r="O12" s="160"/>
      <c r="P12" s="160"/>
      <c r="Q12" s="160"/>
      <c r="R12" s="160"/>
      <c r="T12" s="162"/>
    </row>
    <row r="13" spans="1:20" s="9" customFormat="1" ht="6" customHeight="1">
      <c r="A13" s="2"/>
      <c r="B13" s="3"/>
      <c r="C13" s="4"/>
      <c r="D13" s="5"/>
      <c r="E13" s="5"/>
      <c r="F13" s="5"/>
      <c r="G13" s="6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T13" s="10"/>
    </row>
    <row r="14" spans="1:20" s="161" customFormat="1" ht="18" customHeight="1">
      <c r="A14" s="147"/>
      <c r="B14" s="154"/>
      <c r="C14" s="155"/>
      <c r="D14" s="156"/>
      <c r="E14" s="157"/>
      <c r="F14" s="158"/>
      <c r="G14" s="159"/>
      <c r="H14" s="119"/>
      <c r="I14" s="119"/>
      <c r="J14" s="119"/>
      <c r="K14" s="119"/>
      <c r="L14" s="160"/>
      <c r="M14" s="160"/>
      <c r="N14" s="160"/>
      <c r="O14" s="160"/>
      <c r="P14" s="160"/>
      <c r="Q14" s="160"/>
      <c r="R14" s="160"/>
      <c r="T14" s="162"/>
    </row>
    <row r="15" spans="1:20" s="171" customFormat="1" ht="18" customHeight="1">
      <c r="A15" s="163" t="str">
        <f>A23</f>
        <v>1</v>
      </c>
      <c r="B15" s="164" t="s">
        <v>13</v>
      </c>
      <c r="C15" s="166" t="str">
        <f>C23</f>
        <v>Bourání</v>
      </c>
      <c r="D15" s="167"/>
      <c r="E15" s="168"/>
      <c r="F15" s="169"/>
      <c r="G15" s="165">
        <f>G55</f>
        <v>0</v>
      </c>
      <c r="H15" s="137"/>
      <c r="I15" s="137"/>
      <c r="J15" s="137"/>
      <c r="K15" s="137"/>
      <c r="L15" s="170"/>
      <c r="M15" s="170"/>
      <c r="N15" s="170"/>
      <c r="O15" s="170"/>
      <c r="P15" s="170"/>
      <c r="Q15" s="170"/>
      <c r="R15" s="170"/>
      <c r="T15" s="172"/>
    </row>
    <row r="16" spans="1:20" s="171" customFormat="1" ht="18" customHeight="1">
      <c r="A16" s="163" t="str">
        <f>A57</f>
        <v>2</v>
      </c>
      <c r="B16" s="164" t="str">
        <f>B57</f>
        <v>27</v>
      </c>
      <c r="C16" s="166" t="str">
        <f>C57</f>
        <v>Opěrné stěny</v>
      </c>
      <c r="D16" s="167"/>
      <c r="E16" s="168"/>
      <c r="F16" s="169"/>
      <c r="G16" s="165">
        <f>G109</f>
        <v>0</v>
      </c>
      <c r="H16" s="137"/>
      <c r="I16" s="137"/>
      <c r="J16" s="137"/>
      <c r="K16" s="137"/>
      <c r="L16" s="170"/>
      <c r="M16" s="170"/>
      <c r="N16" s="170"/>
      <c r="O16" s="170"/>
      <c r="P16" s="170"/>
      <c r="Q16" s="170"/>
      <c r="R16" s="170"/>
      <c r="T16" s="172"/>
    </row>
    <row r="17" spans="1:20" s="171" customFormat="1" ht="18" customHeight="1">
      <c r="A17" s="163" t="str">
        <f>A111</f>
        <v>3</v>
      </c>
      <c r="B17" s="164" t="str">
        <f>B111</f>
        <v>56</v>
      </c>
      <c r="C17" s="166" t="str">
        <f>C111</f>
        <v>Komunikace</v>
      </c>
      <c r="D17" s="167"/>
      <c r="E17" s="168"/>
      <c r="F17" s="169"/>
      <c r="G17" s="165">
        <f>G158</f>
        <v>0</v>
      </c>
      <c r="H17" s="137"/>
      <c r="I17" s="137"/>
      <c r="J17" s="137"/>
      <c r="K17" s="137"/>
      <c r="L17" s="170"/>
      <c r="M17" s="170"/>
      <c r="N17" s="170"/>
      <c r="O17" s="170"/>
      <c r="P17" s="170"/>
      <c r="Q17" s="170"/>
      <c r="R17" s="170"/>
      <c r="T17" s="172"/>
    </row>
    <row r="18" spans="1:20" s="161" customFormat="1" ht="18" customHeight="1">
      <c r="A18" s="163" t="str">
        <f>A160</f>
        <v>4</v>
      </c>
      <c r="B18" s="164" t="str">
        <f>B160</f>
        <v>76</v>
      </c>
      <c r="C18" s="155" t="str">
        <f>C160</f>
        <v>Zámečnické konstrukce</v>
      </c>
      <c r="D18" s="156"/>
      <c r="E18" s="157"/>
      <c r="F18" s="158"/>
      <c r="G18" s="159">
        <f>G181</f>
        <v>0</v>
      </c>
      <c r="H18" s="119"/>
      <c r="I18" s="119"/>
      <c r="J18" s="119"/>
      <c r="K18" s="119"/>
      <c r="L18" s="160"/>
      <c r="M18" s="160"/>
      <c r="N18" s="160"/>
      <c r="O18" s="160"/>
      <c r="P18" s="160"/>
      <c r="Q18" s="160"/>
      <c r="R18" s="160"/>
      <c r="T18" s="162"/>
    </row>
    <row r="19" spans="1:20" s="161" customFormat="1" ht="18" customHeight="1">
      <c r="A19" s="173" t="str">
        <f>A183</f>
        <v>A</v>
      </c>
      <c r="B19" s="174"/>
      <c r="C19" s="175" t="str">
        <f>C183</f>
        <v>Jiné</v>
      </c>
      <c r="D19" s="176"/>
      <c r="E19" s="177"/>
      <c r="F19" s="178"/>
      <c r="G19" s="179">
        <f>G187</f>
        <v>0</v>
      </c>
      <c r="H19" s="119"/>
      <c r="I19" s="119"/>
      <c r="J19" s="119"/>
      <c r="K19" s="119"/>
      <c r="L19" s="160"/>
      <c r="M19" s="160"/>
      <c r="N19" s="160"/>
      <c r="O19" s="160"/>
      <c r="P19" s="160"/>
      <c r="Q19" s="160"/>
      <c r="R19" s="160"/>
      <c r="T19" s="162"/>
    </row>
    <row r="20" spans="1:20" s="99" customFormat="1" ht="18" customHeight="1" thickBot="1">
      <c r="A20" s="180"/>
      <c r="B20" s="181"/>
      <c r="C20" s="182"/>
      <c r="D20" s="182"/>
      <c r="E20" s="183"/>
      <c r="F20" s="184"/>
      <c r="G20" s="185"/>
      <c r="H20" s="119"/>
      <c r="I20" s="119"/>
      <c r="J20" s="119"/>
      <c r="K20" s="119"/>
      <c r="L20" s="98"/>
      <c r="M20" s="98"/>
      <c r="N20" s="98"/>
      <c r="O20" s="98"/>
      <c r="P20" s="98"/>
      <c r="Q20" s="98"/>
      <c r="R20" s="98"/>
      <c r="T20" s="100"/>
    </row>
    <row r="21" spans="1:20" s="194" customFormat="1" ht="23.25" customHeight="1" thickBot="1">
      <c r="A21" s="186"/>
      <c r="B21" s="187"/>
      <c r="C21" s="188" t="s">
        <v>14</v>
      </c>
      <c r="D21" s="188"/>
      <c r="E21" s="189"/>
      <c r="F21" s="190"/>
      <c r="G21" s="191">
        <f>SUM(G15:G20)</f>
        <v>0</v>
      </c>
      <c r="H21" s="192"/>
      <c r="I21" s="192"/>
      <c r="J21" s="192"/>
      <c r="K21" s="192"/>
      <c r="L21" s="193"/>
      <c r="M21" s="193"/>
      <c r="N21" s="193"/>
      <c r="O21" s="193"/>
      <c r="P21" s="193"/>
      <c r="Q21" s="193"/>
      <c r="R21" s="193"/>
      <c r="T21" s="195"/>
    </row>
    <row r="22" spans="1:7" ht="15" customHeight="1" thickBot="1">
      <c r="A22" s="196"/>
      <c r="B22" s="197"/>
      <c r="C22" s="198"/>
      <c r="D22" s="198"/>
      <c r="E22" s="199"/>
      <c r="F22" s="200"/>
      <c r="G22" s="201"/>
    </row>
    <row r="23" spans="1:20" s="210" customFormat="1" ht="16.5" customHeight="1" thickBot="1">
      <c r="A23" s="202" t="s">
        <v>15</v>
      </c>
      <c r="B23" s="203" t="s">
        <v>16</v>
      </c>
      <c r="C23" s="204" t="s">
        <v>17</v>
      </c>
      <c r="D23" s="205"/>
      <c r="E23" s="206"/>
      <c r="F23" s="207"/>
      <c r="G23" s="208"/>
      <c r="H23" s="192"/>
      <c r="I23" s="192"/>
      <c r="J23" s="192"/>
      <c r="K23" s="192"/>
      <c r="L23" s="209"/>
      <c r="M23" s="209"/>
      <c r="N23" s="209"/>
      <c r="O23" s="209"/>
      <c r="P23" s="209"/>
      <c r="Q23" s="209"/>
      <c r="R23" s="209"/>
      <c r="T23" s="211"/>
    </row>
    <row r="24" spans="1:20" s="256" customFormat="1" ht="12.75">
      <c r="A24" s="248"/>
      <c r="B24" s="249"/>
      <c r="C24" s="250"/>
      <c r="D24" s="251"/>
      <c r="E24" s="215"/>
      <c r="F24" s="252"/>
      <c r="G24" s="253"/>
      <c r="H24" s="254"/>
      <c r="I24" s="137"/>
      <c r="J24" s="137"/>
      <c r="K24" s="137"/>
      <c r="L24" s="255"/>
      <c r="M24" s="255"/>
      <c r="N24" s="255"/>
      <c r="O24" s="255"/>
      <c r="P24" s="255"/>
      <c r="Q24" s="255"/>
      <c r="R24" s="255"/>
      <c r="T24" s="257"/>
    </row>
    <row r="25" spans="1:20" s="256" customFormat="1" ht="31.5" customHeight="1">
      <c r="A25" s="12" t="s">
        <v>136</v>
      </c>
      <c r="B25" s="13" t="s">
        <v>179</v>
      </c>
      <c r="C25" s="14" t="s">
        <v>180</v>
      </c>
      <c r="D25" s="15" t="s">
        <v>19</v>
      </c>
      <c r="E25" s="16">
        <f>SUM(D26)</f>
        <v>165</v>
      </c>
      <c r="F25" s="17"/>
      <c r="G25" s="18">
        <f>$E25*F25</f>
        <v>0</v>
      </c>
      <c r="H25" s="254"/>
      <c r="I25" s="137"/>
      <c r="J25" s="137"/>
      <c r="K25" s="137"/>
      <c r="L25" s="255"/>
      <c r="M25" s="255"/>
      <c r="N25" s="255"/>
      <c r="O25" s="255"/>
      <c r="P25" s="255"/>
      <c r="Q25" s="255"/>
      <c r="R25" s="255"/>
      <c r="T25" s="257"/>
    </row>
    <row r="26" spans="1:13" s="94" customFormat="1" ht="16.5" customHeight="1">
      <c r="A26" s="92"/>
      <c r="B26" s="325"/>
      <c r="C26" s="526" t="s">
        <v>181</v>
      </c>
      <c r="D26" s="63">
        <f>7.9*15.1+48*0.95+0.11</f>
        <v>165</v>
      </c>
      <c r="E26" s="523"/>
      <c r="F26" s="93"/>
      <c r="G26" s="524"/>
      <c r="H26" s="326"/>
      <c r="I26" s="326"/>
      <c r="J26" s="326"/>
      <c r="K26" s="326"/>
      <c r="L26" s="525"/>
      <c r="M26" s="525"/>
    </row>
    <row r="27" spans="1:20" s="256" customFormat="1" ht="12.75">
      <c r="A27" s="363"/>
      <c r="B27" s="560"/>
      <c r="C27" s="561"/>
      <c r="D27" s="562"/>
      <c r="E27" s="563"/>
      <c r="F27" s="564"/>
      <c r="G27" s="565"/>
      <c r="H27" s="254"/>
      <c r="I27" s="137"/>
      <c r="J27" s="137"/>
      <c r="K27" s="137"/>
      <c r="L27" s="255"/>
      <c r="M27" s="255"/>
      <c r="N27" s="255"/>
      <c r="O27" s="255"/>
      <c r="P27" s="255"/>
      <c r="Q27" s="255"/>
      <c r="R27" s="255"/>
      <c r="T27" s="257"/>
    </row>
    <row r="28" spans="1:17" s="21" customFormat="1" ht="20.25" customHeight="1">
      <c r="A28" s="12" t="s">
        <v>137</v>
      </c>
      <c r="B28" s="13" t="s">
        <v>182</v>
      </c>
      <c r="C28" s="14" t="s">
        <v>183</v>
      </c>
      <c r="D28" s="15" t="s">
        <v>21</v>
      </c>
      <c r="E28" s="16">
        <f>SUM(D29)</f>
        <v>97.09999999999998</v>
      </c>
      <c r="F28" s="17"/>
      <c r="G28" s="18">
        <f>$E28*F28</f>
        <v>0</v>
      </c>
      <c r="H28" s="533"/>
      <c r="I28" s="533"/>
      <c r="J28" s="533">
        <v>-0.22</v>
      </c>
      <c r="K28" s="533">
        <f>E28*J28</f>
        <v>-21.361999999999995</v>
      </c>
      <c r="L28" s="534"/>
      <c r="M28" s="534"/>
      <c r="Q28" s="535"/>
    </row>
    <row r="29" spans="1:13" s="94" customFormat="1" ht="30" customHeight="1">
      <c r="A29" s="92"/>
      <c r="B29" s="325"/>
      <c r="C29" s="526" t="s">
        <v>856</v>
      </c>
      <c r="D29" s="566">
        <f>10.6+18.2+8.4+4.8+3.6+8.5+4.8+7.6+6.7+7.1+4.8+6.8+3.4+1.8</f>
        <v>97.09999999999998</v>
      </c>
      <c r="E29" s="523"/>
      <c r="F29" s="93"/>
      <c r="G29" s="524"/>
      <c r="H29" s="326"/>
      <c r="I29" s="326"/>
      <c r="J29" s="326"/>
      <c r="K29" s="326"/>
      <c r="L29" s="525"/>
      <c r="M29" s="525"/>
    </row>
    <row r="30" spans="1:13" s="94" customFormat="1" ht="15" customHeight="1">
      <c r="A30" s="92"/>
      <c r="B30" s="325"/>
      <c r="C30" s="526"/>
      <c r="D30" s="566"/>
      <c r="E30" s="523"/>
      <c r="F30" s="93"/>
      <c r="G30" s="524"/>
      <c r="H30" s="326"/>
      <c r="I30" s="326"/>
      <c r="J30" s="326"/>
      <c r="K30" s="326"/>
      <c r="L30" s="525"/>
      <c r="M30" s="525"/>
    </row>
    <row r="31" spans="1:17" s="21" customFormat="1" ht="20.25" customHeight="1">
      <c r="A31" s="12" t="s">
        <v>138</v>
      </c>
      <c r="B31" s="13" t="s">
        <v>184</v>
      </c>
      <c r="C31" s="14" t="s">
        <v>185</v>
      </c>
      <c r="D31" s="15" t="s">
        <v>18</v>
      </c>
      <c r="E31" s="16">
        <f>SUM(D32)</f>
        <v>137.19999999999996</v>
      </c>
      <c r="F31" s="17"/>
      <c r="G31" s="18">
        <f>$E31*F31</f>
        <v>0</v>
      </c>
      <c r="H31" s="533"/>
      <c r="I31" s="533"/>
      <c r="J31" s="533">
        <v>-0.09</v>
      </c>
      <c r="K31" s="533">
        <f>E31*J31</f>
        <v>-12.347999999999995</v>
      </c>
      <c r="L31" s="534"/>
      <c r="M31" s="534"/>
      <c r="Q31" s="535"/>
    </row>
    <row r="32" spans="1:13" s="94" customFormat="1" ht="33" customHeight="1">
      <c r="A32" s="567"/>
      <c r="B32" s="325"/>
      <c r="C32" s="521" t="s">
        <v>867</v>
      </c>
      <c r="D32" s="566">
        <f>23*1.8+3*1.5+16.7*1.8+5.8*1.8*2+(54.3*0.5)+10.2*0.5*2+1.5*2+0.01</f>
        <v>137.19999999999996</v>
      </c>
      <c r="E32" s="523"/>
      <c r="F32" s="93"/>
      <c r="G32" s="524"/>
      <c r="H32" s="326"/>
      <c r="I32" s="326"/>
      <c r="J32" s="326"/>
      <c r="K32" s="326"/>
      <c r="L32" s="525"/>
      <c r="M32" s="525"/>
    </row>
    <row r="33" spans="1:17" s="21" customFormat="1" ht="20.25" customHeight="1">
      <c r="A33" s="12" t="s">
        <v>139</v>
      </c>
      <c r="B33" s="13" t="s">
        <v>186</v>
      </c>
      <c r="C33" s="14" t="s">
        <v>187</v>
      </c>
      <c r="D33" s="15" t="s">
        <v>18</v>
      </c>
      <c r="E33" s="16">
        <f>SUM(D34)</f>
        <v>401.20000000000005</v>
      </c>
      <c r="F33" s="17"/>
      <c r="G33" s="18">
        <f>$E33*F33</f>
        <v>0</v>
      </c>
      <c r="H33" s="533"/>
      <c r="I33" s="533"/>
      <c r="J33" s="533">
        <v>-1.1</v>
      </c>
      <c r="K33" s="533">
        <f>E33*J33</f>
        <v>-441.3200000000001</v>
      </c>
      <c r="L33" s="534"/>
      <c r="M33" s="534"/>
      <c r="Q33" s="535"/>
    </row>
    <row r="34" spans="1:13" s="94" customFormat="1" ht="13.5" customHeight="1">
      <c r="A34" s="567"/>
      <c r="B34" s="325"/>
      <c r="C34" s="521" t="s">
        <v>188</v>
      </c>
      <c r="D34" s="566">
        <f>8.7+528.5-24.5-9-102.5</f>
        <v>401.20000000000005</v>
      </c>
      <c r="E34" s="523"/>
      <c r="F34" s="93"/>
      <c r="G34" s="524"/>
      <c r="H34" s="326"/>
      <c r="I34" s="326"/>
      <c r="J34" s="326"/>
      <c r="K34" s="326"/>
      <c r="L34" s="525"/>
      <c r="M34" s="525"/>
    </row>
    <row r="35" spans="1:17" s="21" customFormat="1" ht="20.25" customHeight="1">
      <c r="A35" s="12" t="s">
        <v>140</v>
      </c>
      <c r="B35" s="13" t="s">
        <v>189</v>
      </c>
      <c r="C35" s="14" t="s">
        <v>190</v>
      </c>
      <c r="D35" s="15" t="s">
        <v>18</v>
      </c>
      <c r="E35" s="16">
        <f>SUM(D36)</f>
        <v>102.5</v>
      </c>
      <c r="F35" s="17"/>
      <c r="G35" s="18">
        <f>$E35*F35</f>
        <v>0</v>
      </c>
      <c r="H35" s="533"/>
      <c r="I35" s="533"/>
      <c r="J35" s="533">
        <v>-0.9</v>
      </c>
      <c r="K35" s="533">
        <f>E35*J35</f>
        <v>-92.25</v>
      </c>
      <c r="L35" s="534"/>
      <c r="M35" s="534"/>
      <c r="Q35" s="535"/>
    </row>
    <row r="36" spans="1:13" s="94" customFormat="1" ht="13.5" customHeight="1">
      <c r="A36" s="567"/>
      <c r="B36" s="325"/>
      <c r="C36" s="521">
        <v>102.5</v>
      </c>
      <c r="D36" s="566">
        <v>102.5</v>
      </c>
      <c r="E36" s="523"/>
      <c r="F36" s="93"/>
      <c r="G36" s="524"/>
      <c r="H36" s="326"/>
      <c r="I36" s="326"/>
      <c r="J36" s="326"/>
      <c r="K36" s="326"/>
      <c r="L36" s="525"/>
      <c r="M36" s="525"/>
    </row>
    <row r="37" spans="1:17" s="21" customFormat="1" ht="20.25" customHeight="1">
      <c r="A37" s="12" t="s">
        <v>141</v>
      </c>
      <c r="B37" s="13" t="s">
        <v>191</v>
      </c>
      <c r="C37" s="14" t="s">
        <v>951</v>
      </c>
      <c r="D37" s="15" t="s">
        <v>19</v>
      </c>
      <c r="E37" s="16">
        <f>SUM(D38)</f>
        <v>81.10000000000001</v>
      </c>
      <c r="F37" s="17"/>
      <c r="G37" s="18">
        <f>$E37*F37</f>
        <v>0</v>
      </c>
      <c r="H37" s="533"/>
      <c r="I37" s="533"/>
      <c r="J37" s="533">
        <v>-2</v>
      </c>
      <c r="K37" s="533">
        <f>E37*J37</f>
        <v>-162.20000000000002</v>
      </c>
      <c r="L37" s="534"/>
      <c r="M37" s="534"/>
      <c r="Q37" s="535"/>
    </row>
    <row r="38" spans="1:13" s="94" customFormat="1" ht="13.5" customHeight="1">
      <c r="A38" s="567"/>
      <c r="B38" s="325"/>
      <c r="C38" s="521" t="s">
        <v>952</v>
      </c>
      <c r="D38" s="566">
        <f>(7.9+6.4)*1.6+12.3*1.2+6.9*1.5+4.7*2.3+5.7*2+2.1*2.6*2-0.02</f>
        <v>81.10000000000001</v>
      </c>
      <c r="E38" s="523"/>
      <c r="F38" s="93"/>
      <c r="G38" s="524"/>
      <c r="H38" s="326"/>
      <c r="I38" s="326"/>
      <c r="J38" s="326"/>
      <c r="K38" s="326"/>
      <c r="L38" s="525"/>
      <c r="M38" s="525"/>
    </row>
    <row r="39" spans="1:17" s="21" customFormat="1" ht="20.25" customHeight="1">
      <c r="A39" s="12" t="s">
        <v>192</v>
      </c>
      <c r="B39" s="13" t="s">
        <v>193</v>
      </c>
      <c r="C39" s="14" t="s">
        <v>194</v>
      </c>
      <c r="D39" s="15" t="s">
        <v>21</v>
      </c>
      <c r="E39" s="16">
        <f>SUM(D40)</f>
        <v>19.6</v>
      </c>
      <c r="F39" s="17"/>
      <c r="G39" s="18">
        <f>$E39*F39</f>
        <v>0</v>
      </c>
      <c r="H39" s="533"/>
      <c r="I39" s="533"/>
      <c r="J39" s="533">
        <v>-0.07</v>
      </c>
      <c r="K39" s="533">
        <f>E39*J39</f>
        <v>-1.3720000000000003</v>
      </c>
      <c r="L39" s="534"/>
      <c r="M39" s="534"/>
      <c r="Q39" s="535"/>
    </row>
    <row r="40" spans="1:20" s="289" customFormat="1" ht="16.5" customHeight="1">
      <c r="A40" s="567"/>
      <c r="B40" s="220"/>
      <c r="C40" s="264" t="s">
        <v>195</v>
      </c>
      <c r="D40" s="221">
        <f>14*0.5+9*1.4</f>
        <v>19.6</v>
      </c>
      <c r="E40" s="265"/>
      <c r="F40" s="221"/>
      <c r="G40" s="222"/>
      <c r="H40" s="223"/>
      <c r="I40" s="223"/>
      <c r="J40" s="223"/>
      <c r="K40" s="223"/>
      <c r="L40" s="288"/>
      <c r="M40" s="288"/>
      <c r="N40" s="288"/>
      <c r="O40" s="288"/>
      <c r="P40" s="288"/>
      <c r="Q40" s="288"/>
      <c r="R40" s="288"/>
      <c r="T40" s="290"/>
    </row>
    <row r="41" spans="1:41" s="262" customFormat="1" ht="16.5" customHeight="1">
      <c r="A41" s="12" t="s">
        <v>196</v>
      </c>
      <c r="B41" s="227" t="s">
        <v>197</v>
      </c>
      <c r="C41" s="259" t="s">
        <v>198</v>
      </c>
      <c r="D41" s="260" t="s">
        <v>18</v>
      </c>
      <c r="E41" s="16">
        <f>SUM(D42)</f>
        <v>58.2</v>
      </c>
      <c r="F41" s="228"/>
      <c r="G41" s="18">
        <f>$E41*F41</f>
        <v>0</v>
      </c>
      <c r="H41" s="230"/>
      <c r="I41" s="230"/>
      <c r="J41" s="230">
        <v>-0.07</v>
      </c>
      <c r="K41" s="533">
        <f>E41*J41</f>
        <v>-4.074000000000001</v>
      </c>
      <c r="L41" s="261"/>
      <c r="M41" s="261"/>
      <c r="N41" s="261"/>
      <c r="O41" s="261"/>
      <c r="P41" s="261"/>
      <c r="Q41" s="261"/>
      <c r="R41" s="261"/>
      <c r="T41" s="263"/>
      <c r="X41" s="262">
        <f>IF(AB41=0,I41,0)</f>
        <v>0</v>
      </c>
      <c r="Y41" s="262">
        <f>IF(AB41=15,I41,0)</f>
        <v>0</v>
      </c>
      <c r="Z41" s="262">
        <f>IF(AB41=21,I41,0)</f>
        <v>0</v>
      </c>
      <c r="AB41" s="262">
        <v>21</v>
      </c>
      <c r="AC41" s="262">
        <f>F41*0</f>
        <v>0</v>
      </c>
      <c r="AD41" s="262">
        <f>F41*(1-0)</f>
        <v>0</v>
      </c>
      <c r="AK41" s="262">
        <f>E41*AC41</f>
        <v>0</v>
      </c>
      <c r="AL41" s="262">
        <f>E41*AD41</f>
        <v>0</v>
      </c>
      <c r="AM41" s="262" t="s">
        <v>74</v>
      </c>
      <c r="AN41" s="262" t="s">
        <v>75</v>
      </c>
      <c r="AO41" s="262" t="s">
        <v>76</v>
      </c>
    </row>
    <row r="42" spans="1:13" s="94" customFormat="1" ht="13.5" customHeight="1">
      <c r="A42" s="567"/>
      <c r="B42" s="325"/>
      <c r="C42" s="521" t="s">
        <v>199</v>
      </c>
      <c r="D42" s="566">
        <f>48+10.2</f>
        <v>58.2</v>
      </c>
      <c r="E42" s="523"/>
      <c r="F42" s="93"/>
      <c r="G42" s="524"/>
      <c r="H42" s="326"/>
      <c r="I42" s="326"/>
      <c r="J42" s="326"/>
      <c r="K42" s="326"/>
      <c r="L42" s="525"/>
      <c r="M42" s="525"/>
    </row>
    <row r="43" spans="1:41" s="262" customFormat="1" ht="16.5" customHeight="1">
      <c r="A43" s="12" t="s">
        <v>200</v>
      </c>
      <c r="B43" s="227" t="s">
        <v>201</v>
      </c>
      <c r="C43" s="259" t="s">
        <v>202</v>
      </c>
      <c r="D43" s="260" t="s">
        <v>19</v>
      </c>
      <c r="E43" s="16">
        <f>SUM(D44)</f>
        <v>9.203</v>
      </c>
      <c r="F43" s="228"/>
      <c r="G43" s="18">
        <f>$E43*F43</f>
        <v>0</v>
      </c>
      <c r="H43" s="230"/>
      <c r="I43" s="230"/>
      <c r="J43" s="230">
        <v>-2.2</v>
      </c>
      <c r="K43" s="533">
        <f>E43*J43</f>
        <v>-20.2466</v>
      </c>
      <c r="L43" s="261"/>
      <c r="M43" s="261"/>
      <c r="N43" s="261"/>
      <c r="O43" s="261"/>
      <c r="P43" s="261"/>
      <c r="Q43" s="261"/>
      <c r="R43" s="261"/>
      <c r="T43" s="263"/>
      <c r="X43" s="262">
        <f>IF(AB43=0,I43,0)</f>
        <v>0</v>
      </c>
      <c r="Y43" s="262">
        <f>IF(AB43=15,I43,0)</f>
        <v>0</v>
      </c>
      <c r="Z43" s="262">
        <f>IF(AB43=21,I43,0)</f>
        <v>0</v>
      </c>
      <c r="AB43" s="262">
        <v>21</v>
      </c>
      <c r="AC43" s="262">
        <f>F43*0</f>
        <v>0</v>
      </c>
      <c r="AD43" s="262">
        <f>F43*(1-0)</f>
        <v>0</v>
      </c>
      <c r="AK43" s="262">
        <f>E43*AC43</f>
        <v>0</v>
      </c>
      <c r="AL43" s="262">
        <f>E43*AD43</f>
        <v>0</v>
      </c>
      <c r="AM43" s="262" t="s">
        <v>74</v>
      </c>
      <c r="AN43" s="262" t="s">
        <v>75</v>
      </c>
      <c r="AO43" s="262" t="s">
        <v>76</v>
      </c>
    </row>
    <row r="44" spans="1:13" s="94" customFormat="1" ht="13.5" customHeight="1">
      <c r="A44" s="567"/>
      <c r="B44" s="325"/>
      <c r="C44" s="521" t="s">
        <v>203</v>
      </c>
      <c r="D44" s="566">
        <f>0.71*2.4*2+1.7*1.4+9.7*1.4*0.25+0.02</f>
        <v>9.203</v>
      </c>
      <c r="E44" s="523"/>
      <c r="F44" s="93"/>
      <c r="G44" s="524"/>
      <c r="H44" s="326"/>
      <c r="I44" s="326"/>
      <c r="J44" s="326"/>
      <c r="K44" s="326"/>
      <c r="L44" s="525"/>
      <c r="M44" s="525"/>
    </row>
    <row r="45" spans="1:13" s="94" customFormat="1" ht="13.5" customHeight="1">
      <c r="A45" s="567"/>
      <c r="B45" s="325"/>
      <c r="C45" s="521"/>
      <c r="D45" s="522"/>
      <c r="E45" s="523"/>
      <c r="F45" s="93"/>
      <c r="G45" s="524"/>
      <c r="H45" s="326"/>
      <c r="I45" s="326"/>
      <c r="J45" s="326"/>
      <c r="K45" s="326"/>
      <c r="L45" s="525"/>
      <c r="M45" s="525"/>
    </row>
    <row r="46" spans="1:17" s="538" customFormat="1" ht="18.75" customHeight="1">
      <c r="A46" s="363" t="s">
        <v>204</v>
      </c>
      <c r="B46" s="231" t="s">
        <v>119</v>
      </c>
      <c r="C46" s="232" t="s">
        <v>120</v>
      </c>
      <c r="D46" s="233" t="s">
        <v>104</v>
      </c>
      <c r="E46" s="16">
        <f>SUM(D48)</f>
        <v>1280</v>
      </c>
      <c r="F46" s="302"/>
      <c r="G46" s="18">
        <f>$E46*F46</f>
        <v>0</v>
      </c>
      <c r="H46" s="536">
        <v>5E-05</v>
      </c>
      <c r="I46" s="230">
        <f>E46*H46</f>
        <v>0.064</v>
      </c>
      <c r="J46" s="536">
        <v>-0.001</v>
      </c>
      <c r="K46" s="533">
        <f>E46*J46</f>
        <v>-1.28</v>
      </c>
      <c r="L46" s="537"/>
      <c r="M46" s="537"/>
      <c r="Q46" s="539"/>
    </row>
    <row r="47" spans="1:13" s="381" customFormat="1" ht="18.75" customHeight="1">
      <c r="A47" s="363"/>
      <c r="B47" s="375" t="s">
        <v>36</v>
      </c>
      <c r="C47" s="376" t="s">
        <v>130</v>
      </c>
      <c r="D47" s="377"/>
      <c r="E47" s="91"/>
      <c r="F47" s="378"/>
      <c r="G47" s="519"/>
      <c r="H47" s="379"/>
      <c r="I47" s="379"/>
      <c r="J47" s="379"/>
      <c r="K47" s="379"/>
      <c r="L47" s="380"/>
      <c r="M47" s="380"/>
    </row>
    <row r="48" spans="1:13" s="381" customFormat="1" ht="18.75" customHeight="1">
      <c r="A48" s="363"/>
      <c r="B48" s="375"/>
      <c r="C48" s="376" t="s">
        <v>205</v>
      </c>
      <c r="D48" s="377">
        <f>(7.9+6.4+12.3+5.4)*40</f>
        <v>1280</v>
      </c>
      <c r="E48" s="91"/>
      <c r="F48" s="378"/>
      <c r="G48" s="519"/>
      <c r="H48" s="379"/>
      <c r="I48" s="379"/>
      <c r="J48" s="379"/>
      <c r="K48" s="379"/>
      <c r="L48" s="380"/>
      <c r="M48" s="380"/>
    </row>
    <row r="49" spans="1:20" s="31" customFormat="1" ht="10.5" customHeight="1">
      <c r="A49" s="23"/>
      <c r="B49" s="24"/>
      <c r="C49" s="25"/>
      <c r="D49" s="26"/>
      <c r="E49" s="27"/>
      <c r="F49" s="27"/>
      <c r="G49" s="28"/>
      <c r="H49" s="41"/>
      <c r="I49" s="37"/>
      <c r="J49" s="41"/>
      <c r="K49" s="37"/>
      <c r="L49" s="42"/>
      <c r="M49" s="30"/>
      <c r="N49" s="30"/>
      <c r="O49" s="30"/>
      <c r="P49" s="30"/>
      <c r="Q49" s="30"/>
      <c r="R49" s="30"/>
      <c r="T49" s="32"/>
    </row>
    <row r="50" spans="1:20" s="543" customFormat="1" ht="28.5" customHeight="1">
      <c r="A50" s="12" t="s">
        <v>206</v>
      </c>
      <c r="B50" s="43" t="s">
        <v>68</v>
      </c>
      <c r="C50" s="44" t="s">
        <v>22</v>
      </c>
      <c r="D50" s="45" t="s">
        <v>23</v>
      </c>
      <c r="E50" s="46">
        <f>-K50</f>
        <v>755.1726000000001</v>
      </c>
      <c r="F50" s="46"/>
      <c r="G50" s="18">
        <f>$E50*F50</f>
        <v>0</v>
      </c>
      <c r="H50" s="41"/>
      <c r="I50" s="540">
        <f>SUM(I23:I49)</f>
        <v>0.064</v>
      </c>
      <c r="J50" s="541"/>
      <c r="K50" s="540">
        <f>SUM(K24:K44)</f>
        <v>-755.1726000000001</v>
      </c>
      <c r="L50" s="42"/>
      <c r="M50" s="542"/>
      <c r="N50" s="542"/>
      <c r="O50" s="542"/>
      <c r="P50" s="542"/>
      <c r="Q50" s="542"/>
      <c r="R50" s="542"/>
      <c r="T50" s="544"/>
    </row>
    <row r="51" spans="1:20" s="543" customFormat="1" ht="22.5" customHeight="1">
      <c r="A51" s="12" t="s">
        <v>207</v>
      </c>
      <c r="B51" s="43" t="s">
        <v>70</v>
      </c>
      <c r="C51" s="44" t="s">
        <v>129</v>
      </c>
      <c r="D51" s="45" t="s">
        <v>23</v>
      </c>
      <c r="E51" s="46">
        <f>E50*9</f>
        <v>6796.553400000001</v>
      </c>
      <c r="F51" s="46"/>
      <c r="G51" s="18">
        <f>$E51*F51</f>
        <v>0</v>
      </c>
      <c r="H51" s="41"/>
      <c r="I51" s="37"/>
      <c r="J51" s="41"/>
      <c r="K51" s="37"/>
      <c r="L51" s="42"/>
      <c r="M51" s="542"/>
      <c r="N51" s="542"/>
      <c r="O51" s="542"/>
      <c r="P51" s="542"/>
      <c r="Q51" s="542"/>
      <c r="R51" s="542"/>
      <c r="T51" s="544"/>
    </row>
    <row r="52" spans="1:20" s="543" customFormat="1" ht="25.5" customHeight="1">
      <c r="A52" s="12" t="s">
        <v>208</v>
      </c>
      <c r="B52" s="43" t="s">
        <v>67</v>
      </c>
      <c r="C52" s="44" t="s">
        <v>69</v>
      </c>
      <c r="D52" s="45" t="s">
        <v>23</v>
      </c>
      <c r="E52" s="46">
        <f>E50-E53</f>
        <v>662.9226000000001</v>
      </c>
      <c r="F52" s="46"/>
      <c r="G52" s="18">
        <f>$E52*F52</f>
        <v>0</v>
      </c>
      <c r="H52" s="41"/>
      <c r="I52" s="37"/>
      <c r="J52" s="41"/>
      <c r="K52" s="37"/>
      <c r="L52" s="542"/>
      <c r="M52" s="542"/>
      <c r="N52" s="542"/>
      <c r="O52" s="542"/>
      <c r="P52" s="542"/>
      <c r="Q52" s="542"/>
      <c r="R52" s="542"/>
      <c r="T52" s="544"/>
    </row>
    <row r="53" spans="1:20" s="543" customFormat="1" ht="25.5" customHeight="1">
      <c r="A53" s="12" t="s">
        <v>209</v>
      </c>
      <c r="B53" s="43" t="s">
        <v>67</v>
      </c>
      <c r="C53" s="44" t="s">
        <v>210</v>
      </c>
      <c r="D53" s="45" t="s">
        <v>23</v>
      </c>
      <c r="E53" s="46">
        <f>-K35</f>
        <v>92.25</v>
      </c>
      <c r="F53" s="46"/>
      <c r="G53" s="18">
        <f>$E53*F53</f>
        <v>0</v>
      </c>
      <c r="H53" s="41"/>
      <c r="I53" s="37"/>
      <c r="J53" s="41"/>
      <c r="K53" s="37"/>
      <c r="L53" s="542"/>
      <c r="M53" s="542"/>
      <c r="N53" s="542"/>
      <c r="O53" s="542"/>
      <c r="P53" s="542"/>
      <c r="Q53" s="542"/>
      <c r="R53" s="542"/>
      <c r="T53" s="544"/>
    </row>
    <row r="54" spans="1:20" s="50" customFormat="1" ht="11.25" customHeight="1" thickBot="1">
      <c r="A54" s="52"/>
      <c r="B54" s="53"/>
      <c r="C54" s="266"/>
      <c r="D54" s="54"/>
      <c r="E54" s="55"/>
      <c r="F54" s="56"/>
      <c r="G54" s="57"/>
      <c r="H54" s="48"/>
      <c r="I54" s="48"/>
      <c r="J54" s="48"/>
      <c r="K54" s="48"/>
      <c r="L54" s="49"/>
      <c r="M54" s="49"/>
      <c r="N54" s="267"/>
      <c r="O54" s="267"/>
      <c r="P54" s="268"/>
      <c r="Q54" s="269"/>
      <c r="R54" s="49"/>
      <c r="T54" s="51"/>
    </row>
    <row r="55" spans="1:20" s="99" customFormat="1" ht="16.5" customHeight="1" thickBot="1">
      <c r="A55" s="237"/>
      <c r="B55" s="238"/>
      <c r="C55" s="239" t="s">
        <v>24</v>
      </c>
      <c r="D55" s="240"/>
      <c r="E55" s="241"/>
      <c r="F55" s="242"/>
      <c r="G55" s="243">
        <f>SUBTOTAL(9,G24:G54)</f>
        <v>0</v>
      </c>
      <c r="H55" s="119"/>
      <c r="I55" s="192"/>
      <c r="J55" s="119"/>
      <c r="K55" s="119"/>
      <c r="L55" s="98"/>
      <c r="M55" s="98"/>
      <c r="N55" s="98"/>
      <c r="O55" s="98"/>
      <c r="P55" s="98"/>
      <c r="Q55" s="98"/>
      <c r="R55" s="98"/>
      <c r="T55" s="100"/>
    </row>
    <row r="56" spans="1:20" s="99" customFormat="1" ht="13.5" customHeight="1" thickBot="1">
      <c r="A56" s="244"/>
      <c r="B56" s="245"/>
      <c r="C56" s="246"/>
      <c r="D56" s="246"/>
      <c r="E56" s="247"/>
      <c r="F56" s="200"/>
      <c r="G56" s="201"/>
      <c r="H56" s="119"/>
      <c r="I56" s="119"/>
      <c r="J56" s="119"/>
      <c r="K56" s="119"/>
      <c r="L56" s="98"/>
      <c r="M56" s="98"/>
      <c r="N56" s="98"/>
      <c r="O56" s="98"/>
      <c r="P56" s="98"/>
      <c r="Q56" s="98"/>
      <c r="R56" s="98"/>
      <c r="T56" s="100"/>
    </row>
    <row r="57" spans="1:20" s="210" customFormat="1" ht="16.5" customHeight="1" thickBot="1">
      <c r="A57" s="202" t="s">
        <v>25</v>
      </c>
      <c r="B57" s="203" t="s">
        <v>56</v>
      </c>
      <c r="C57" s="204" t="s">
        <v>872</v>
      </c>
      <c r="D57" s="205"/>
      <c r="E57" s="206"/>
      <c r="F57" s="207"/>
      <c r="G57" s="208"/>
      <c r="H57" s="192"/>
      <c r="I57" s="192"/>
      <c r="J57" s="192"/>
      <c r="K57" s="192"/>
      <c r="L57" s="209"/>
      <c r="M57" s="209"/>
      <c r="N57" s="209"/>
      <c r="O57" s="209"/>
      <c r="P57" s="209"/>
      <c r="Q57" s="209"/>
      <c r="R57" s="209"/>
      <c r="T57" s="211"/>
    </row>
    <row r="58" spans="1:20" s="256" customFormat="1" ht="12.75">
      <c r="A58" s="248"/>
      <c r="B58" s="249"/>
      <c r="C58" s="250"/>
      <c r="D58" s="251"/>
      <c r="E58" s="215"/>
      <c r="F58" s="252"/>
      <c r="G58" s="253"/>
      <c r="H58" s="254"/>
      <c r="I58" s="137"/>
      <c r="J58" s="137"/>
      <c r="K58" s="137"/>
      <c r="L58" s="255"/>
      <c r="M58" s="255"/>
      <c r="N58" s="255"/>
      <c r="O58" s="255"/>
      <c r="P58" s="255"/>
      <c r="Q58" s="255"/>
      <c r="R58" s="255"/>
      <c r="T58" s="257"/>
    </row>
    <row r="59" spans="1:20" s="171" customFormat="1" ht="32.25" customHeight="1">
      <c r="A59" s="363" t="s">
        <v>142</v>
      </c>
      <c r="B59" s="344" t="s">
        <v>211</v>
      </c>
      <c r="C59" s="366" t="s">
        <v>862</v>
      </c>
      <c r="D59" s="382" t="s">
        <v>19</v>
      </c>
      <c r="E59" s="55">
        <f>SUM(D60)</f>
        <v>17.125199999999996</v>
      </c>
      <c r="F59" s="368"/>
      <c r="G59" s="18">
        <f>$E59*F59</f>
        <v>0</v>
      </c>
      <c r="H59" s="254">
        <v>0.48157</v>
      </c>
      <c r="I59" s="230">
        <f>E59*H59</f>
        <v>8.246982563999998</v>
      </c>
      <c r="J59" s="137"/>
      <c r="K59" s="137"/>
      <c r="L59" s="170"/>
      <c r="M59" s="170"/>
      <c r="N59" s="170"/>
      <c r="O59" s="170"/>
      <c r="P59" s="170"/>
      <c r="Q59" s="170"/>
      <c r="R59" s="170"/>
      <c r="T59" s="172"/>
    </row>
    <row r="60" spans="1:13" s="94" customFormat="1" ht="28.5" customHeight="1">
      <c r="A60" s="567"/>
      <c r="B60" s="325"/>
      <c r="C60" s="521" t="s">
        <v>986</v>
      </c>
      <c r="D60" s="566">
        <f>(23*1.8+3*1.5+16.7*1.8+5.8*1.8*2+(54.3*0.5)+10.4*1.8)*0.12</f>
        <v>17.125199999999996</v>
      </c>
      <c r="E60" s="523"/>
      <c r="F60" s="93"/>
      <c r="G60" s="524"/>
      <c r="H60" s="326"/>
      <c r="I60" s="326"/>
      <c r="J60" s="326"/>
      <c r="K60" s="326"/>
      <c r="L60" s="525"/>
      <c r="M60" s="525"/>
    </row>
    <row r="61" spans="1:27" s="373" customFormat="1" ht="28.5" customHeight="1">
      <c r="A61" s="364" t="s">
        <v>143</v>
      </c>
      <c r="B61" s="365" t="s">
        <v>212</v>
      </c>
      <c r="C61" s="366" t="s">
        <v>863</v>
      </c>
      <c r="D61" s="367" t="s">
        <v>19</v>
      </c>
      <c r="E61" s="55">
        <f>SUM(D62)</f>
        <v>1.3499999999999999</v>
      </c>
      <c r="F61" s="368"/>
      <c r="G61" s="18">
        <f>$E61*F61</f>
        <v>0</v>
      </c>
      <c r="H61" s="230">
        <v>2.33732</v>
      </c>
      <c r="I61" s="230">
        <f>E61*H61</f>
        <v>3.155382</v>
      </c>
      <c r="J61" s="369"/>
      <c r="K61" s="369"/>
      <c r="L61" s="369"/>
      <c r="M61" s="369"/>
      <c r="N61" s="369"/>
      <c r="O61" s="370"/>
      <c r="P61" s="370"/>
      <c r="Q61" s="370"/>
      <c r="R61" s="370"/>
      <c r="S61" s="370"/>
      <c r="T61" s="371"/>
      <c r="U61" s="371"/>
      <c r="V61" s="372"/>
      <c r="W61" s="372"/>
      <c r="X61" s="372"/>
      <c r="Y61" s="372"/>
      <c r="Z61" s="372"/>
      <c r="AA61" s="372"/>
    </row>
    <row r="62" spans="1:20" s="31" customFormat="1" ht="15.75" customHeight="1">
      <c r="A62" s="23"/>
      <c r="B62" s="24"/>
      <c r="C62" s="25" t="s">
        <v>864</v>
      </c>
      <c r="D62" s="26">
        <f>4.5*0.3</f>
        <v>1.3499999999999999</v>
      </c>
      <c r="E62" s="27"/>
      <c r="F62" s="27"/>
      <c r="G62" s="28"/>
      <c r="H62" s="29"/>
      <c r="I62" s="29"/>
      <c r="J62" s="29"/>
      <c r="K62" s="29"/>
      <c r="L62" s="30"/>
      <c r="M62" s="30"/>
      <c r="N62" s="30"/>
      <c r="O62" s="30"/>
      <c r="P62" s="30"/>
      <c r="Q62" s="30"/>
      <c r="R62" s="30"/>
      <c r="T62" s="32"/>
    </row>
    <row r="63" spans="1:27" s="373" customFormat="1" ht="28.5" customHeight="1">
      <c r="A63" s="364" t="s">
        <v>26</v>
      </c>
      <c r="B63" s="365" t="s">
        <v>212</v>
      </c>
      <c r="C63" s="366" t="s">
        <v>865</v>
      </c>
      <c r="D63" s="367" t="s">
        <v>19</v>
      </c>
      <c r="E63" s="55">
        <f>SUM(D64)</f>
        <v>19.345</v>
      </c>
      <c r="F63" s="368"/>
      <c r="G63" s="18">
        <f>$E63*F63</f>
        <v>0</v>
      </c>
      <c r="H63" s="230">
        <v>2.33732</v>
      </c>
      <c r="I63" s="230">
        <f>E63*H63</f>
        <v>45.215455399999996</v>
      </c>
      <c r="J63" s="369"/>
      <c r="K63" s="369"/>
      <c r="L63" s="369"/>
      <c r="M63" s="369"/>
      <c r="N63" s="369"/>
      <c r="O63" s="370"/>
      <c r="P63" s="370"/>
      <c r="Q63" s="370"/>
      <c r="R63" s="370"/>
      <c r="S63" s="370"/>
      <c r="T63" s="371"/>
      <c r="U63" s="371"/>
      <c r="V63" s="372"/>
      <c r="W63" s="372"/>
      <c r="X63" s="372"/>
      <c r="Y63" s="372"/>
      <c r="Z63" s="372"/>
      <c r="AA63" s="372"/>
    </row>
    <row r="64" spans="1:20" s="31" customFormat="1" ht="15.75" customHeight="1">
      <c r="A64" s="23"/>
      <c r="B64" s="24"/>
      <c r="C64" s="25" t="s">
        <v>866</v>
      </c>
      <c r="D64" s="26">
        <f>0.5*(16.25+22.44)</f>
        <v>19.345</v>
      </c>
      <c r="E64" s="27"/>
      <c r="F64" s="27"/>
      <c r="G64" s="28"/>
      <c r="H64" s="29"/>
      <c r="I64" s="29"/>
      <c r="J64" s="29"/>
      <c r="K64" s="29"/>
      <c r="L64" s="30"/>
      <c r="M64" s="30"/>
      <c r="N64" s="30"/>
      <c r="O64" s="30"/>
      <c r="P64" s="30"/>
      <c r="Q64" s="30"/>
      <c r="R64" s="30"/>
      <c r="T64" s="32"/>
    </row>
    <row r="65" spans="1:27" s="373" customFormat="1" ht="20.25" customHeight="1">
      <c r="A65" s="364" t="s">
        <v>144</v>
      </c>
      <c r="B65" s="365" t="s">
        <v>213</v>
      </c>
      <c r="C65" s="366" t="s">
        <v>968</v>
      </c>
      <c r="D65" s="367" t="s">
        <v>19</v>
      </c>
      <c r="E65" s="55">
        <f>SUM(D66:D66)</f>
        <v>34.64</v>
      </c>
      <c r="F65" s="368"/>
      <c r="G65" s="18">
        <f>$E65*F65</f>
        <v>0</v>
      </c>
      <c r="H65" s="230">
        <v>2.5327</v>
      </c>
      <c r="I65" s="230">
        <f>E65*H65</f>
        <v>87.73272800000001</v>
      </c>
      <c r="J65" s="369"/>
      <c r="K65" s="369"/>
      <c r="L65" s="369"/>
      <c r="M65" s="369"/>
      <c r="N65" s="369"/>
      <c r="O65" s="370"/>
      <c r="P65" s="370"/>
      <c r="Q65" s="370"/>
      <c r="R65" s="370"/>
      <c r="S65" s="370"/>
      <c r="T65" s="371"/>
      <c r="U65" s="371"/>
      <c r="V65" s="372"/>
      <c r="W65" s="372"/>
      <c r="X65" s="372"/>
      <c r="Y65" s="372"/>
      <c r="Z65" s="372"/>
      <c r="AA65" s="372"/>
    </row>
    <row r="66" spans="1:20" s="225" customFormat="1" ht="18" customHeight="1">
      <c r="A66" s="23"/>
      <c r="B66" s="220"/>
      <c r="C66" s="264" t="s">
        <v>969</v>
      </c>
      <c r="D66" s="26">
        <f>6.6*1.7+4.7*2.3+4.5*0.5+3.7*2.8</f>
        <v>34.64</v>
      </c>
      <c r="E66" s="265"/>
      <c r="F66" s="221"/>
      <c r="G66" s="222"/>
      <c r="H66" s="223"/>
      <c r="I66" s="223"/>
      <c r="J66" s="223"/>
      <c r="K66" s="223"/>
      <c r="L66" s="224"/>
      <c r="M66" s="224"/>
      <c r="N66" s="224"/>
      <c r="O66" s="224"/>
      <c r="P66" s="224"/>
      <c r="Q66" s="224"/>
      <c r="R66" s="224"/>
      <c r="T66" s="226"/>
    </row>
    <row r="67" spans="1:20" s="256" customFormat="1" ht="30" customHeight="1">
      <c r="A67" s="570" t="s">
        <v>985</v>
      </c>
      <c r="B67" s="331" t="s">
        <v>1020</v>
      </c>
      <c r="C67" s="332" t="s">
        <v>1021</v>
      </c>
      <c r="D67" s="333" t="s">
        <v>23</v>
      </c>
      <c r="E67" s="334">
        <f>I67</f>
        <v>144.350547964</v>
      </c>
      <c r="F67" s="335"/>
      <c r="G67" s="34">
        <f aca="true" t="shared" si="0" ref="G67">$E67*F67</f>
        <v>0</v>
      </c>
      <c r="H67" s="283"/>
      <c r="I67" s="254">
        <f>SUM(I58:I66)</f>
        <v>144.350547964</v>
      </c>
      <c r="J67" s="283"/>
      <c r="K67" s="283"/>
      <c r="L67" s="255"/>
      <c r="M67" s="255"/>
      <c r="N67" s="255"/>
      <c r="O67" s="255"/>
      <c r="P67" s="255"/>
      <c r="Q67" s="255"/>
      <c r="R67" s="255"/>
      <c r="T67" s="257"/>
    </row>
    <row r="68" spans="1:20" s="225" customFormat="1" ht="20.25" customHeight="1">
      <c r="A68" s="219"/>
      <c r="B68" s="220"/>
      <c r="C68" s="264"/>
      <c r="D68" s="221"/>
      <c r="E68" s="265"/>
      <c r="F68" s="221"/>
      <c r="G68" s="222"/>
      <c r="H68" s="223"/>
      <c r="I68" s="223"/>
      <c r="J68" s="223"/>
      <c r="K68" s="223"/>
      <c r="L68" s="224"/>
      <c r="M68" s="224"/>
      <c r="N68" s="224"/>
      <c r="O68" s="224"/>
      <c r="P68" s="224"/>
      <c r="Q68" s="224"/>
      <c r="R68" s="224"/>
      <c r="T68" s="226"/>
    </row>
    <row r="69" spans="1:20" s="262" customFormat="1" ht="24" customHeight="1">
      <c r="A69" s="258"/>
      <c r="B69" s="638" t="s">
        <v>868</v>
      </c>
      <c r="C69" s="602" t="s">
        <v>949</v>
      </c>
      <c r="D69" s="568"/>
      <c r="E69" s="228"/>
      <c r="F69" s="228"/>
      <c r="G69" s="218"/>
      <c r="H69" s="230">
        <v>0.75568</v>
      </c>
      <c r="I69" s="230">
        <f>E69*H69</f>
        <v>0</v>
      </c>
      <c r="J69" s="230"/>
      <c r="K69" s="230"/>
      <c r="L69" s="261"/>
      <c r="M69" s="261"/>
      <c r="N69" s="261"/>
      <c r="O69" s="261"/>
      <c r="P69" s="261"/>
      <c r="Q69" s="261"/>
      <c r="R69" s="261"/>
      <c r="T69" s="263"/>
    </row>
    <row r="70" spans="1:20" s="262" customFormat="1" ht="27" customHeight="1">
      <c r="A70" s="258" t="s">
        <v>145</v>
      </c>
      <c r="B70" s="636" t="s">
        <v>944</v>
      </c>
      <c r="C70" s="259" t="s">
        <v>955</v>
      </c>
      <c r="D70" s="568"/>
      <c r="E70" s="228"/>
      <c r="F70" s="228"/>
      <c r="G70" s="218">
        <f aca="true" t="shared" si="1" ref="G70:G75">$E70*F70</f>
        <v>0</v>
      </c>
      <c r="H70" s="230">
        <v>0.75568</v>
      </c>
      <c r="I70" s="230">
        <f aca="true" t="shared" si="2" ref="I70:I75">E70*H70</f>
        <v>0</v>
      </c>
      <c r="J70" s="230"/>
      <c r="K70" s="230"/>
      <c r="L70" s="261"/>
      <c r="M70" s="261"/>
      <c r="N70" s="261"/>
      <c r="O70" s="261"/>
      <c r="P70" s="261"/>
      <c r="Q70" s="261"/>
      <c r="R70" s="261"/>
      <c r="T70" s="263"/>
    </row>
    <row r="71" spans="1:20" s="225" customFormat="1" ht="12" customHeight="1">
      <c r="A71" s="219"/>
      <c r="B71" s="220"/>
      <c r="C71" s="264"/>
      <c r="D71" s="221"/>
      <c r="E71" s="265"/>
      <c r="F71" s="221"/>
      <c r="G71" s="222"/>
      <c r="H71" s="223"/>
      <c r="I71" s="223"/>
      <c r="J71" s="223"/>
      <c r="K71" s="223"/>
      <c r="L71" s="224"/>
      <c r="M71" s="224"/>
      <c r="N71" s="224"/>
      <c r="O71" s="224"/>
      <c r="P71" s="224"/>
      <c r="Q71" s="224"/>
      <c r="R71" s="224"/>
      <c r="T71" s="226"/>
    </row>
    <row r="72" spans="1:20" s="262" customFormat="1" ht="30" customHeight="1">
      <c r="A72" s="258" t="s">
        <v>146</v>
      </c>
      <c r="B72" s="636" t="s">
        <v>945</v>
      </c>
      <c r="C72" s="259" t="s">
        <v>956</v>
      </c>
      <c r="D72" s="568" t="s">
        <v>214</v>
      </c>
      <c r="E72" s="228">
        <v>1</v>
      </c>
      <c r="F72" s="228"/>
      <c r="G72" s="218">
        <f t="shared" si="1"/>
        <v>0</v>
      </c>
      <c r="H72" s="230">
        <v>0.75568</v>
      </c>
      <c r="I72" s="230">
        <f t="shared" si="2"/>
        <v>0.75568</v>
      </c>
      <c r="J72" s="230"/>
      <c r="K72" s="230"/>
      <c r="L72" s="261"/>
      <c r="M72" s="261"/>
      <c r="N72" s="261"/>
      <c r="O72" s="261"/>
      <c r="P72" s="261"/>
      <c r="Q72" s="261"/>
      <c r="R72" s="261"/>
      <c r="T72" s="263"/>
    </row>
    <row r="73" spans="1:20" s="225" customFormat="1" ht="12" customHeight="1">
      <c r="A73" s="219"/>
      <c r="B73" s="220"/>
      <c r="C73" s="264"/>
      <c r="D73" s="221"/>
      <c r="E73" s="265"/>
      <c r="F73" s="221"/>
      <c r="G73" s="222"/>
      <c r="H73" s="223"/>
      <c r="I73" s="223"/>
      <c r="J73" s="223"/>
      <c r="K73" s="223"/>
      <c r="L73" s="224"/>
      <c r="M73" s="224"/>
      <c r="N73" s="224"/>
      <c r="O73" s="224"/>
      <c r="P73" s="224"/>
      <c r="Q73" s="224"/>
      <c r="R73" s="224"/>
      <c r="T73" s="226"/>
    </row>
    <row r="74" spans="1:20" s="262" customFormat="1" ht="25.5" customHeight="1">
      <c r="A74" s="258" t="s">
        <v>262</v>
      </c>
      <c r="B74" s="636" t="s">
        <v>946</v>
      </c>
      <c r="C74" s="259" t="s">
        <v>948</v>
      </c>
      <c r="D74" s="568"/>
      <c r="E74" s="228"/>
      <c r="F74" s="228"/>
      <c r="G74" s="218"/>
      <c r="H74" s="230">
        <v>0.75568</v>
      </c>
      <c r="I74" s="230">
        <f t="shared" si="2"/>
        <v>0</v>
      </c>
      <c r="J74" s="230"/>
      <c r="K74" s="230"/>
      <c r="L74" s="261"/>
      <c r="M74" s="261"/>
      <c r="N74" s="261"/>
      <c r="O74" s="261"/>
      <c r="P74" s="261"/>
      <c r="Q74" s="261"/>
      <c r="R74" s="261"/>
      <c r="T74" s="263"/>
    </row>
    <row r="75" spans="1:20" s="262" customFormat="1" ht="33" customHeight="1">
      <c r="A75" s="363" t="s">
        <v>970</v>
      </c>
      <c r="B75" s="571" t="s">
        <v>954</v>
      </c>
      <c r="C75" s="589" t="s">
        <v>953</v>
      </c>
      <c r="D75" s="559" t="s">
        <v>18</v>
      </c>
      <c r="E75" s="573">
        <f>SUM(D76)</f>
        <v>9.3</v>
      </c>
      <c r="F75" s="573"/>
      <c r="G75" s="218">
        <f t="shared" si="1"/>
        <v>0</v>
      </c>
      <c r="H75" s="230">
        <v>0.74</v>
      </c>
      <c r="I75" s="230">
        <f t="shared" si="2"/>
        <v>6.882000000000001</v>
      </c>
      <c r="J75" s="230"/>
      <c r="K75" s="230"/>
      <c r="L75" s="261"/>
      <c r="M75" s="261"/>
      <c r="N75" s="261"/>
      <c r="O75" s="261"/>
      <c r="P75" s="261"/>
      <c r="Q75" s="261"/>
      <c r="R75" s="261"/>
      <c r="T75" s="263"/>
    </row>
    <row r="76" spans="1:20" s="225" customFormat="1" ht="20.25" customHeight="1">
      <c r="A76" s="363"/>
      <c r="B76" s="220"/>
      <c r="C76" s="264" t="s">
        <v>957</v>
      </c>
      <c r="D76" s="221">
        <f>(1.7*1.25+1.3*0.7+1.7*0.95)*2</f>
        <v>9.3</v>
      </c>
      <c r="E76" s="265"/>
      <c r="F76" s="221"/>
      <c r="G76" s="222"/>
      <c r="H76" s="223"/>
      <c r="I76" s="223"/>
      <c r="J76" s="223"/>
      <c r="K76" s="223"/>
      <c r="L76" s="224"/>
      <c r="M76" s="224"/>
      <c r="N76" s="224"/>
      <c r="O76" s="224"/>
      <c r="P76" s="224"/>
      <c r="Q76" s="224"/>
      <c r="R76" s="224"/>
      <c r="T76" s="226"/>
    </row>
    <row r="77" spans="1:20" s="262" customFormat="1" ht="16.5" customHeight="1">
      <c r="A77" s="363" t="s">
        <v>971</v>
      </c>
      <c r="B77" s="227" t="s">
        <v>742</v>
      </c>
      <c r="C77" s="259" t="s">
        <v>958</v>
      </c>
      <c r="D77" s="260" t="s">
        <v>19</v>
      </c>
      <c r="E77" s="228">
        <f>SUM(D78)</f>
        <v>1.5675</v>
      </c>
      <c r="F77" s="228"/>
      <c r="G77" s="18">
        <f aca="true" t="shared" si="3" ref="G77">$E77*F77</f>
        <v>0</v>
      </c>
      <c r="H77" s="230"/>
      <c r="I77" s="230"/>
      <c r="J77" s="230"/>
      <c r="K77" s="533"/>
      <c r="L77" s="261"/>
      <c r="M77" s="261"/>
      <c r="N77" s="261"/>
      <c r="O77" s="261"/>
      <c r="P77" s="261"/>
      <c r="Q77" s="261"/>
      <c r="R77" s="261"/>
      <c r="T77" s="263"/>
    </row>
    <row r="78" spans="1:20" s="31" customFormat="1" ht="17.25" customHeight="1">
      <c r="A78" s="363"/>
      <c r="B78" s="24"/>
      <c r="C78" s="25" t="s">
        <v>959</v>
      </c>
      <c r="D78" s="26">
        <f>1.65*0.95</f>
        <v>1.5675</v>
      </c>
      <c r="E78" s="27"/>
      <c r="F78" s="27"/>
      <c r="G78" s="28"/>
      <c r="H78" s="41"/>
      <c r="I78" s="37"/>
      <c r="J78" s="41"/>
      <c r="K78" s="37"/>
      <c r="L78" s="42"/>
      <c r="M78" s="30"/>
      <c r="N78" s="30"/>
      <c r="O78" s="30"/>
      <c r="P78" s="30"/>
      <c r="Q78" s="30"/>
      <c r="R78" s="30"/>
      <c r="T78" s="32"/>
    </row>
    <row r="79" spans="1:20" s="39" customFormat="1" ht="15.75" customHeight="1">
      <c r="A79" s="363" t="s">
        <v>972</v>
      </c>
      <c r="B79" s="43" t="s">
        <v>81</v>
      </c>
      <c r="C79" s="69" t="s">
        <v>82</v>
      </c>
      <c r="D79" s="35" t="s">
        <v>18</v>
      </c>
      <c r="E79" s="36">
        <f>SUM(D80)</f>
        <v>9.901</v>
      </c>
      <c r="F79" s="36"/>
      <c r="G79" s="34">
        <f>$E79*F79</f>
        <v>0</v>
      </c>
      <c r="H79" s="90"/>
      <c r="I79" s="90"/>
      <c r="J79" s="90"/>
      <c r="K79" s="90"/>
      <c r="L79" s="38"/>
      <c r="M79" s="38"/>
      <c r="N79" s="38"/>
      <c r="O79" s="38"/>
      <c r="P79" s="38"/>
      <c r="Q79" s="38"/>
      <c r="R79" s="38"/>
      <c r="T79" s="40"/>
    </row>
    <row r="80" spans="1:20" s="31" customFormat="1" ht="15.75" customHeight="1">
      <c r="A80" s="363"/>
      <c r="B80" s="24"/>
      <c r="C80" s="25" t="s">
        <v>960</v>
      </c>
      <c r="D80" s="26">
        <f>7*3*0.3+7*3*0.171+0.01</f>
        <v>9.901</v>
      </c>
      <c r="E80" s="27"/>
      <c r="F80" s="27"/>
      <c r="G80" s="28"/>
      <c r="H80" s="29"/>
      <c r="I80" s="29"/>
      <c r="J80" s="29"/>
      <c r="K80" s="29"/>
      <c r="L80" s="30"/>
      <c r="M80" s="30"/>
      <c r="N80" s="30"/>
      <c r="O80" s="30"/>
      <c r="P80" s="30"/>
      <c r="Q80" s="30"/>
      <c r="R80" s="30"/>
      <c r="T80" s="32"/>
    </row>
    <row r="81" spans="1:20" s="31" customFormat="1" ht="27.75" customHeight="1">
      <c r="A81" s="363" t="s">
        <v>973</v>
      </c>
      <c r="B81" s="556" t="s">
        <v>166</v>
      </c>
      <c r="C81" s="69" t="s">
        <v>167</v>
      </c>
      <c r="D81" s="35" t="s">
        <v>18</v>
      </c>
      <c r="E81" s="36">
        <f>SUM(D82)</f>
        <v>21.253</v>
      </c>
      <c r="F81" s="36"/>
      <c r="G81" s="34">
        <f>$E81*F81</f>
        <v>0</v>
      </c>
      <c r="H81" s="283">
        <v>0.00378</v>
      </c>
      <c r="I81" s="230">
        <f aca="true" t="shared" si="4" ref="I81">E81*H81</f>
        <v>0.08033634</v>
      </c>
      <c r="J81" s="29"/>
      <c r="K81" s="29"/>
      <c r="L81" s="30"/>
      <c r="M81" s="30"/>
      <c r="N81" s="30"/>
      <c r="O81" s="30"/>
      <c r="P81" s="30"/>
      <c r="Q81" s="30"/>
      <c r="R81" s="30"/>
      <c r="T81" s="32"/>
    </row>
    <row r="82" spans="1:20" s="31" customFormat="1" ht="15.75" customHeight="1">
      <c r="A82" s="363"/>
      <c r="B82" s="24"/>
      <c r="C82" s="25" t="s">
        <v>961</v>
      </c>
      <c r="D82" s="26">
        <f>7*3*0.3+7*3*0.171+5.2*0.95*2*1.15</f>
        <v>21.253</v>
      </c>
      <c r="E82" s="27"/>
      <c r="F82" s="27"/>
      <c r="G82" s="28"/>
      <c r="H82" s="29"/>
      <c r="I82" s="29"/>
      <c r="J82" s="29"/>
      <c r="K82" s="29"/>
      <c r="L82" s="30"/>
      <c r="M82" s="30"/>
      <c r="N82" s="30"/>
      <c r="O82" s="30"/>
      <c r="P82" s="30"/>
      <c r="Q82" s="30"/>
      <c r="R82" s="30"/>
      <c r="T82" s="32"/>
    </row>
    <row r="83" spans="1:20" s="31" customFormat="1" ht="15.75" customHeight="1">
      <c r="A83" s="23"/>
      <c r="B83" s="527"/>
      <c r="C83" s="528"/>
      <c r="D83" s="529"/>
      <c r="E83" s="27"/>
      <c r="F83" s="530"/>
      <c r="G83" s="28"/>
      <c r="H83" s="283">
        <v>0.00398</v>
      </c>
      <c r="I83" s="230">
        <f aca="true" t="shared" si="5" ref="I83">E83*H83</f>
        <v>0</v>
      </c>
      <c r="J83" s="29"/>
      <c r="K83" s="29"/>
      <c r="L83" s="30"/>
      <c r="M83" s="30"/>
      <c r="N83" s="30"/>
      <c r="O83" s="30"/>
      <c r="P83" s="30"/>
      <c r="Q83" s="30"/>
      <c r="R83" s="30"/>
      <c r="T83" s="32"/>
    </row>
    <row r="84" spans="1:20" s="256" customFormat="1" ht="29.25" customHeight="1">
      <c r="A84" s="363" t="s">
        <v>974</v>
      </c>
      <c r="B84" s="331" t="s">
        <v>168</v>
      </c>
      <c r="C84" s="332" t="s">
        <v>963</v>
      </c>
      <c r="D84" s="333" t="s">
        <v>18</v>
      </c>
      <c r="E84" s="36">
        <f>SUM(D85)</f>
        <v>6.3</v>
      </c>
      <c r="F84" s="335"/>
      <c r="G84" s="34">
        <f aca="true" t="shared" si="6" ref="G84:G92">$E84*F84</f>
        <v>0</v>
      </c>
      <c r="H84" s="29"/>
      <c r="I84" s="283"/>
      <c r="J84" s="283"/>
      <c r="K84" s="283"/>
      <c r="L84" s="255"/>
      <c r="M84" s="255"/>
      <c r="N84" s="255"/>
      <c r="O84" s="255"/>
      <c r="P84" s="255"/>
      <c r="Q84" s="255"/>
      <c r="R84" s="255"/>
      <c r="T84" s="257"/>
    </row>
    <row r="85" spans="1:20" s="31" customFormat="1" ht="15.75" customHeight="1">
      <c r="A85" s="23"/>
      <c r="B85" s="24"/>
      <c r="C85" s="25" t="s">
        <v>1018</v>
      </c>
      <c r="D85" s="26">
        <f>7*3*0.3</f>
        <v>6.3</v>
      </c>
      <c r="E85" s="27"/>
      <c r="F85" s="27"/>
      <c r="G85" s="28"/>
      <c r="H85" s="283">
        <v>0.00398</v>
      </c>
      <c r="I85" s="230">
        <f aca="true" t="shared" si="7" ref="I85">E85*H85</f>
        <v>0</v>
      </c>
      <c r="J85" s="29"/>
      <c r="K85" s="29"/>
      <c r="L85" s="30"/>
      <c r="M85" s="30"/>
      <c r="N85" s="30"/>
      <c r="O85" s="30"/>
      <c r="P85" s="30"/>
      <c r="Q85" s="30"/>
      <c r="R85" s="30"/>
      <c r="T85" s="32"/>
    </row>
    <row r="86" spans="1:20" s="314" customFormat="1" ht="30.75" customHeight="1">
      <c r="A86" s="363" t="s">
        <v>975</v>
      </c>
      <c r="B86" s="331" t="s">
        <v>168</v>
      </c>
      <c r="C86" s="332" t="s">
        <v>962</v>
      </c>
      <c r="D86" s="333" t="s">
        <v>18</v>
      </c>
      <c r="E86" s="36">
        <f>SUM(D87)</f>
        <v>3.591</v>
      </c>
      <c r="F86" s="335"/>
      <c r="G86" s="34">
        <f aca="true" t="shared" si="8" ref="G86">$E86*F86</f>
        <v>0</v>
      </c>
      <c r="H86" s="29"/>
      <c r="I86" s="341"/>
      <c r="J86" s="341"/>
      <c r="K86" s="341"/>
      <c r="L86" s="313"/>
      <c r="M86" s="313"/>
      <c r="N86" s="313"/>
      <c r="O86" s="313"/>
      <c r="P86" s="313"/>
      <c r="Q86" s="313"/>
      <c r="R86" s="313"/>
      <c r="T86" s="315"/>
    </row>
    <row r="87" spans="1:20" s="31" customFormat="1" ht="15.75" customHeight="1">
      <c r="A87" s="23"/>
      <c r="B87" s="24"/>
      <c r="C87" s="25" t="s">
        <v>1017</v>
      </c>
      <c r="D87" s="26">
        <f>7*3*0.171</f>
        <v>3.591</v>
      </c>
      <c r="E87" s="27"/>
      <c r="F87" s="27"/>
      <c r="G87" s="28"/>
      <c r="H87" s="283">
        <v>0.0192</v>
      </c>
      <c r="I87" s="230">
        <f aca="true" t="shared" si="9" ref="I87">E87*H87</f>
        <v>0</v>
      </c>
      <c r="J87" s="29"/>
      <c r="K87" s="29"/>
      <c r="L87" s="30"/>
      <c r="M87" s="30"/>
      <c r="N87" s="30"/>
      <c r="O87" s="30"/>
      <c r="P87" s="30"/>
      <c r="Q87" s="30"/>
      <c r="R87" s="30"/>
      <c r="T87" s="32"/>
    </row>
    <row r="88" spans="1:20" s="256" customFormat="1" ht="30" customHeight="1">
      <c r="A88" s="363" t="s">
        <v>976</v>
      </c>
      <c r="B88" s="331" t="s">
        <v>169</v>
      </c>
      <c r="C88" s="332" t="s">
        <v>937</v>
      </c>
      <c r="D88" s="333" t="s">
        <v>18</v>
      </c>
      <c r="E88" s="334">
        <f>SUM(D89:D89)</f>
        <v>12.36375</v>
      </c>
      <c r="F88" s="335"/>
      <c r="G88" s="34">
        <f t="shared" si="6"/>
        <v>0</v>
      </c>
      <c r="H88" s="283"/>
      <c r="I88" s="283"/>
      <c r="J88" s="283"/>
      <c r="K88" s="283"/>
      <c r="L88" s="255"/>
      <c r="M88" s="255"/>
      <c r="N88" s="255"/>
      <c r="O88" s="255"/>
      <c r="P88" s="255"/>
      <c r="Q88" s="255"/>
      <c r="R88" s="255"/>
      <c r="T88" s="257"/>
    </row>
    <row r="89" spans="1:20" s="31" customFormat="1" ht="15.75" customHeight="1">
      <c r="A89" s="23"/>
      <c r="B89" s="24"/>
      <c r="C89" s="25" t="s">
        <v>964</v>
      </c>
      <c r="D89" s="26">
        <f>(7*3*0.3+7*3*0.171)*1.25</f>
        <v>12.36375</v>
      </c>
      <c r="E89" s="27"/>
      <c r="F89" s="27"/>
      <c r="G89" s="28"/>
      <c r="H89" s="283"/>
      <c r="I89" s="29"/>
      <c r="J89" s="29"/>
      <c r="K89" s="29"/>
      <c r="L89" s="30"/>
      <c r="M89" s="30"/>
      <c r="N89" s="30"/>
      <c r="O89" s="30"/>
      <c r="P89" s="30"/>
      <c r="Q89" s="30"/>
      <c r="R89" s="30"/>
      <c r="T89" s="32"/>
    </row>
    <row r="90" spans="1:20" s="21" customFormat="1" ht="14.25" customHeight="1">
      <c r="A90" s="363" t="s">
        <v>977</v>
      </c>
      <c r="B90" s="386" t="s">
        <v>171</v>
      </c>
      <c r="C90" s="366" t="s">
        <v>157</v>
      </c>
      <c r="D90" s="367" t="s">
        <v>21</v>
      </c>
      <c r="E90" s="55">
        <f>SUM(D91)</f>
        <v>21</v>
      </c>
      <c r="F90" s="56"/>
      <c r="G90" s="34">
        <f t="shared" si="6"/>
        <v>0</v>
      </c>
      <c r="H90" s="283"/>
      <c r="I90" s="531"/>
      <c r="J90" s="531"/>
      <c r="K90" s="531"/>
      <c r="L90" s="532"/>
      <c r="M90" s="532"/>
      <c r="N90" s="532"/>
      <c r="O90" s="532"/>
      <c r="P90" s="532"/>
      <c r="Q90" s="532"/>
      <c r="R90" s="532"/>
      <c r="T90" s="22"/>
    </row>
    <row r="91" spans="1:20" s="314" customFormat="1" ht="18" customHeight="1">
      <c r="A91" s="23"/>
      <c r="B91" s="336"/>
      <c r="C91" s="639">
        <v>21</v>
      </c>
      <c r="D91" s="338">
        <v>21</v>
      </c>
      <c r="E91" s="339"/>
      <c r="F91" s="340"/>
      <c r="G91" s="312"/>
      <c r="H91" s="283"/>
      <c r="I91" s="341"/>
      <c r="J91" s="341"/>
      <c r="K91" s="341"/>
      <c r="L91" s="313"/>
      <c r="M91" s="313"/>
      <c r="N91" s="313"/>
      <c r="O91" s="313"/>
      <c r="P91" s="313"/>
      <c r="Q91" s="313"/>
      <c r="R91" s="313"/>
      <c r="T91" s="315"/>
    </row>
    <row r="92" spans="1:20" s="256" customFormat="1" ht="19.5" customHeight="1">
      <c r="A92" s="363" t="s">
        <v>978</v>
      </c>
      <c r="B92" s="331" t="s">
        <v>172</v>
      </c>
      <c r="C92" s="332" t="s">
        <v>83</v>
      </c>
      <c r="D92" s="333" t="s">
        <v>49</v>
      </c>
      <c r="E92" s="334">
        <f>SUM(G79:G91)*0.01</f>
        <v>0</v>
      </c>
      <c r="F92" s="335"/>
      <c r="G92" s="34">
        <f t="shared" si="6"/>
        <v>0</v>
      </c>
      <c r="H92" s="283"/>
      <c r="I92" s="283"/>
      <c r="J92" s="283"/>
      <c r="K92" s="283"/>
      <c r="L92" s="255"/>
      <c r="M92" s="255"/>
      <c r="N92" s="255"/>
      <c r="O92" s="255"/>
      <c r="P92" s="255"/>
      <c r="Q92" s="255"/>
      <c r="R92" s="255"/>
      <c r="T92" s="257"/>
    </row>
    <row r="93" spans="1:20" s="225" customFormat="1" ht="12" customHeight="1">
      <c r="A93" s="219"/>
      <c r="B93" s="220"/>
      <c r="C93" s="264"/>
      <c r="D93" s="221"/>
      <c r="E93" s="265"/>
      <c r="F93" s="221"/>
      <c r="G93" s="222"/>
      <c r="H93" s="283"/>
      <c r="I93" s="223"/>
      <c r="J93" s="223"/>
      <c r="K93" s="223"/>
      <c r="L93" s="224"/>
      <c r="M93" s="224"/>
      <c r="N93" s="224"/>
      <c r="O93" s="224"/>
      <c r="P93" s="224"/>
      <c r="Q93" s="224"/>
      <c r="R93" s="224"/>
      <c r="T93" s="226"/>
    </row>
    <row r="94" spans="1:20" s="262" customFormat="1" ht="24.75" customHeight="1">
      <c r="A94" s="570" t="s">
        <v>263</v>
      </c>
      <c r="B94" s="636" t="s">
        <v>947</v>
      </c>
      <c r="C94" s="589" t="s">
        <v>1009</v>
      </c>
      <c r="D94" s="568"/>
      <c r="E94" s="228"/>
      <c r="F94" s="228"/>
      <c r="G94" s="218"/>
      <c r="H94" s="283"/>
      <c r="I94" s="230"/>
      <c r="J94" s="230"/>
      <c r="K94" s="230"/>
      <c r="L94" s="261"/>
      <c r="M94" s="261"/>
      <c r="N94" s="261"/>
      <c r="O94" s="261"/>
      <c r="P94" s="261"/>
      <c r="Q94" s="261"/>
      <c r="R94" s="261"/>
      <c r="T94" s="263"/>
    </row>
    <row r="95" spans="1:20" s="39" customFormat="1" ht="15.75" customHeight="1">
      <c r="A95" s="570" t="s">
        <v>979</v>
      </c>
      <c r="B95" s="43" t="s">
        <v>81</v>
      </c>
      <c r="C95" s="69" t="s">
        <v>82</v>
      </c>
      <c r="D95" s="35" t="s">
        <v>18</v>
      </c>
      <c r="E95" s="36">
        <f>SUM(D96)</f>
        <v>4.100029</v>
      </c>
      <c r="F95" s="36"/>
      <c r="G95" s="34">
        <f>$E95*F95</f>
        <v>0</v>
      </c>
      <c r="H95" s="283"/>
      <c r="I95" s="90"/>
      <c r="J95" s="90"/>
      <c r="K95" s="90"/>
      <c r="L95" s="38"/>
      <c r="M95" s="38"/>
      <c r="N95" s="38"/>
      <c r="O95" s="38"/>
      <c r="P95" s="38"/>
      <c r="Q95" s="38"/>
      <c r="R95" s="38"/>
      <c r="T95" s="40"/>
    </row>
    <row r="96" spans="1:20" s="31" customFormat="1" ht="15.75" customHeight="1">
      <c r="A96" s="23"/>
      <c r="B96" s="24"/>
      <c r="C96" s="25" t="s">
        <v>965</v>
      </c>
      <c r="D96" s="26">
        <f>(0.3+0.16667)*1.45*6+0.04</f>
        <v>4.100029</v>
      </c>
      <c r="E96" s="27"/>
      <c r="F96" s="27"/>
      <c r="G96" s="28"/>
      <c r="H96" s="283"/>
      <c r="I96" s="29"/>
      <c r="J96" s="29"/>
      <c r="K96" s="29"/>
      <c r="L96" s="30"/>
      <c r="M96" s="30"/>
      <c r="N96" s="30"/>
      <c r="O96" s="30"/>
      <c r="P96" s="30"/>
      <c r="Q96" s="30"/>
      <c r="R96" s="30"/>
      <c r="T96" s="32"/>
    </row>
    <row r="97" spans="1:20" s="31" customFormat="1" ht="27.75" customHeight="1">
      <c r="A97" s="570" t="s">
        <v>980</v>
      </c>
      <c r="B97" s="556" t="s">
        <v>166</v>
      </c>
      <c r="C97" s="69" t="s">
        <v>167</v>
      </c>
      <c r="D97" s="35" t="s">
        <v>18</v>
      </c>
      <c r="E97" s="36">
        <f>SUM(D98)</f>
        <v>4.100029</v>
      </c>
      <c r="F97" s="36"/>
      <c r="G97" s="34">
        <f>$E97*F97</f>
        <v>0</v>
      </c>
      <c r="H97" s="283">
        <v>0.00378</v>
      </c>
      <c r="I97" s="230">
        <f aca="true" t="shared" si="10" ref="I97">E97*H97</f>
        <v>0.01549810962</v>
      </c>
      <c r="J97" s="29"/>
      <c r="K97" s="29"/>
      <c r="L97" s="30"/>
      <c r="M97" s="30"/>
      <c r="N97" s="30"/>
      <c r="O97" s="30"/>
      <c r="P97" s="30"/>
      <c r="Q97" s="30"/>
      <c r="R97" s="30"/>
      <c r="T97" s="32"/>
    </row>
    <row r="98" spans="1:20" s="31" customFormat="1" ht="15.75" customHeight="1">
      <c r="A98" s="23"/>
      <c r="B98" s="24"/>
      <c r="C98" s="25" t="s">
        <v>965</v>
      </c>
      <c r="D98" s="26">
        <f>(0.3+0.16667)*1.45*6+0.04</f>
        <v>4.100029</v>
      </c>
      <c r="E98" s="27"/>
      <c r="F98" s="27"/>
      <c r="G98" s="28"/>
      <c r="H98" s="29"/>
      <c r="I98" s="29"/>
      <c r="J98" s="29"/>
      <c r="K98" s="29"/>
      <c r="L98" s="30"/>
      <c r="M98" s="30"/>
      <c r="N98" s="30"/>
      <c r="O98" s="30"/>
      <c r="P98" s="30"/>
      <c r="Q98" s="30"/>
      <c r="R98" s="30"/>
      <c r="T98" s="32"/>
    </row>
    <row r="99" spans="1:20" s="256" customFormat="1" ht="29.25" customHeight="1">
      <c r="A99" s="570" t="s">
        <v>981</v>
      </c>
      <c r="B99" s="331" t="s">
        <v>1014</v>
      </c>
      <c r="C99" s="332" t="s">
        <v>963</v>
      </c>
      <c r="D99" s="333" t="s">
        <v>18</v>
      </c>
      <c r="E99" s="36">
        <f>SUM(D100)</f>
        <v>2.61</v>
      </c>
      <c r="F99" s="335"/>
      <c r="G99" s="34">
        <f aca="true" t="shared" si="11" ref="G99">$E99*F99</f>
        <v>0</v>
      </c>
      <c r="H99" s="283">
        <v>0.00398</v>
      </c>
      <c r="I99" s="230">
        <f aca="true" t="shared" si="12" ref="I99">E99*H99</f>
        <v>0.010387799999999999</v>
      </c>
      <c r="J99" s="283"/>
      <c r="K99" s="283"/>
      <c r="L99" s="255"/>
      <c r="M99" s="255"/>
      <c r="N99" s="255"/>
      <c r="O99" s="255"/>
      <c r="P99" s="255"/>
      <c r="Q99" s="255"/>
      <c r="R99" s="255"/>
      <c r="T99" s="257"/>
    </row>
    <row r="100" spans="1:20" s="31" customFormat="1" ht="15.75" customHeight="1">
      <c r="A100" s="23"/>
      <c r="B100" s="24"/>
      <c r="C100" s="25" t="s">
        <v>1015</v>
      </c>
      <c r="D100" s="26">
        <f>6*1.45*0.3</f>
        <v>2.61</v>
      </c>
      <c r="E100" s="27"/>
      <c r="F100" s="27"/>
      <c r="G100" s="28"/>
      <c r="H100" s="29"/>
      <c r="I100" s="29"/>
      <c r="J100" s="29"/>
      <c r="K100" s="29"/>
      <c r="L100" s="30"/>
      <c r="M100" s="30"/>
      <c r="N100" s="30"/>
      <c r="O100" s="30"/>
      <c r="P100" s="30"/>
      <c r="Q100" s="30"/>
      <c r="R100" s="30"/>
      <c r="T100" s="32"/>
    </row>
    <row r="101" spans="1:20" s="314" customFormat="1" ht="30.75" customHeight="1">
      <c r="A101" s="570" t="s">
        <v>982</v>
      </c>
      <c r="B101" s="331" t="s">
        <v>168</v>
      </c>
      <c r="C101" s="332" t="s">
        <v>962</v>
      </c>
      <c r="D101" s="333" t="s">
        <v>18</v>
      </c>
      <c r="E101" s="36">
        <f>SUM(D102)</f>
        <v>1.450029</v>
      </c>
      <c r="F101" s="335"/>
      <c r="G101" s="34">
        <f aca="true" t="shared" si="13" ref="G101">$E101*F101</f>
        <v>0</v>
      </c>
      <c r="H101" s="283">
        <v>0.00398</v>
      </c>
      <c r="I101" s="230">
        <f aca="true" t="shared" si="14" ref="I101">E101*H101</f>
        <v>0.00577111542</v>
      </c>
      <c r="J101" s="341"/>
      <c r="K101" s="341"/>
      <c r="L101" s="313"/>
      <c r="M101" s="313"/>
      <c r="N101" s="313"/>
      <c r="O101" s="313"/>
      <c r="P101" s="313"/>
      <c r="Q101" s="313"/>
      <c r="R101" s="313"/>
      <c r="T101" s="315"/>
    </row>
    <row r="102" spans="1:20" s="31" customFormat="1" ht="15.75" customHeight="1">
      <c r="A102" s="23"/>
      <c r="B102" s="24"/>
      <c r="C102" s="25" t="s">
        <v>1016</v>
      </c>
      <c r="D102" s="26">
        <f>6*1.45*0.16667</f>
        <v>1.450029</v>
      </c>
      <c r="E102" s="27"/>
      <c r="F102" s="27"/>
      <c r="G102" s="28"/>
      <c r="H102" s="29"/>
      <c r="I102" s="29"/>
      <c r="J102" s="29"/>
      <c r="K102" s="29"/>
      <c r="L102" s="30"/>
      <c r="M102" s="30"/>
      <c r="N102" s="30"/>
      <c r="O102" s="30"/>
      <c r="P102" s="30"/>
      <c r="Q102" s="30"/>
      <c r="R102" s="30"/>
      <c r="T102" s="32"/>
    </row>
    <row r="103" spans="1:20" s="256" customFormat="1" ht="30" customHeight="1">
      <c r="A103" s="570" t="s">
        <v>983</v>
      </c>
      <c r="B103" s="331" t="s">
        <v>169</v>
      </c>
      <c r="C103" s="332" t="s">
        <v>937</v>
      </c>
      <c r="D103" s="333" t="s">
        <v>18</v>
      </c>
      <c r="E103" s="334">
        <f>SUM(D104:D104)</f>
        <v>5.09503625</v>
      </c>
      <c r="F103" s="335"/>
      <c r="G103" s="34">
        <f aca="true" t="shared" si="15" ref="G103">$E103*F103</f>
        <v>0</v>
      </c>
      <c r="H103" s="283">
        <v>0.0192</v>
      </c>
      <c r="I103" s="230">
        <f aca="true" t="shared" si="16" ref="I103">E103*H103</f>
        <v>0.09782469599999999</v>
      </c>
      <c r="J103" s="283"/>
      <c r="K103" s="283"/>
      <c r="L103" s="255"/>
      <c r="M103" s="255"/>
      <c r="N103" s="255"/>
      <c r="O103" s="255"/>
      <c r="P103" s="255"/>
      <c r="Q103" s="255"/>
      <c r="R103" s="255"/>
      <c r="T103" s="257"/>
    </row>
    <row r="104" spans="1:20" s="31" customFormat="1" ht="15.75" customHeight="1">
      <c r="A104" s="23"/>
      <c r="B104" s="24"/>
      <c r="C104" s="25" t="s">
        <v>966</v>
      </c>
      <c r="D104" s="26">
        <f>(0.3+0.16667)*1.45*6*1.25+0.02</f>
        <v>5.09503625</v>
      </c>
      <c r="E104" s="27"/>
      <c r="F104" s="27"/>
      <c r="G104" s="28"/>
      <c r="H104" s="29"/>
      <c r="I104" s="29"/>
      <c r="J104" s="29"/>
      <c r="K104" s="29"/>
      <c r="L104" s="30"/>
      <c r="M104" s="30"/>
      <c r="N104" s="30"/>
      <c r="O104" s="30"/>
      <c r="P104" s="30"/>
      <c r="Q104" s="30"/>
      <c r="R104" s="30"/>
      <c r="T104" s="32"/>
    </row>
    <row r="105" spans="1:20" s="21" customFormat="1" ht="20.25" customHeight="1">
      <c r="A105" s="570" t="s">
        <v>984</v>
      </c>
      <c r="B105" s="386" t="s">
        <v>171</v>
      </c>
      <c r="C105" s="366" t="s">
        <v>157</v>
      </c>
      <c r="D105" s="367" t="s">
        <v>21</v>
      </c>
      <c r="E105" s="55">
        <f>SUM(D106)</f>
        <v>8.7</v>
      </c>
      <c r="F105" s="56"/>
      <c r="G105" s="34">
        <f aca="true" t="shared" si="17" ref="G105">$E105*F105</f>
        <v>0</v>
      </c>
      <c r="H105" s="531"/>
      <c r="I105" s="531"/>
      <c r="J105" s="531"/>
      <c r="K105" s="531"/>
      <c r="L105" s="532"/>
      <c r="M105" s="532"/>
      <c r="N105" s="532"/>
      <c r="O105" s="532"/>
      <c r="P105" s="532"/>
      <c r="Q105" s="532"/>
      <c r="R105" s="532"/>
      <c r="T105" s="22"/>
    </row>
    <row r="106" spans="1:20" s="314" customFormat="1" ht="18" customHeight="1">
      <c r="A106" s="23"/>
      <c r="B106" s="336"/>
      <c r="C106" s="337" t="s">
        <v>967</v>
      </c>
      <c r="D106" s="26">
        <f>1.45*6</f>
        <v>8.7</v>
      </c>
      <c r="E106" s="339"/>
      <c r="F106" s="340"/>
      <c r="G106" s="312"/>
      <c r="H106" s="341"/>
      <c r="I106" s="341"/>
      <c r="J106" s="341"/>
      <c r="K106" s="341"/>
      <c r="L106" s="313"/>
      <c r="M106" s="313"/>
      <c r="N106" s="313"/>
      <c r="O106" s="313"/>
      <c r="P106" s="313"/>
      <c r="Q106" s="313"/>
      <c r="R106" s="313"/>
      <c r="T106" s="315"/>
    </row>
    <row r="107" spans="1:20" s="256" customFormat="1" ht="19.5" customHeight="1">
      <c r="A107" s="570" t="s">
        <v>985</v>
      </c>
      <c r="B107" s="331" t="s">
        <v>172</v>
      </c>
      <c r="C107" s="332" t="s">
        <v>83</v>
      </c>
      <c r="D107" s="333" t="s">
        <v>49</v>
      </c>
      <c r="E107" s="334">
        <f>SUM(G94:G106)*0.01</f>
        <v>0</v>
      </c>
      <c r="F107" s="335"/>
      <c r="G107" s="34">
        <f aca="true" t="shared" si="18" ref="G107">$E107*F107</f>
        <v>0</v>
      </c>
      <c r="H107" s="283"/>
      <c r="I107" s="283"/>
      <c r="J107" s="283"/>
      <c r="K107" s="283"/>
      <c r="L107" s="255"/>
      <c r="M107" s="255"/>
      <c r="N107" s="255"/>
      <c r="O107" s="255"/>
      <c r="P107" s="255"/>
      <c r="Q107" s="255"/>
      <c r="R107" s="255"/>
      <c r="T107" s="257"/>
    </row>
    <row r="108" spans="1:20" s="256" customFormat="1" ht="13.5" thickBot="1">
      <c r="A108" s="270"/>
      <c r="B108" s="271"/>
      <c r="C108" s="272"/>
      <c r="D108" s="273"/>
      <c r="E108" s="236"/>
      <c r="F108" s="274"/>
      <c r="G108" s="275"/>
      <c r="H108" s="137"/>
      <c r="I108" s="137"/>
      <c r="J108" s="137"/>
      <c r="K108" s="137"/>
      <c r="L108" s="255"/>
      <c r="M108" s="255"/>
      <c r="N108" s="255"/>
      <c r="O108" s="255"/>
      <c r="P108" s="255"/>
      <c r="Q108" s="255"/>
      <c r="R108" s="255"/>
      <c r="T108" s="257"/>
    </row>
    <row r="109" spans="1:20" s="99" customFormat="1" ht="16.5" customHeight="1" thickBot="1">
      <c r="A109" s="237"/>
      <c r="B109" s="238"/>
      <c r="C109" s="239" t="s">
        <v>24</v>
      </c>
      <c r="D109" s="276"/>
      <c r="E109" s="277"/>
      <c r="F109" s="278"/>
      <c r="G109" s="243">
        <f>SUBTOTAL(9,G58:G108)</f>
        <v>0</v>
      </c>
      <c r="H109" s="119"/>
      <c r="I109" s="192">
        <f>SUM(I58:I108)</f>
        <v>296.5485939890399</v>
      </c>
      <c r="J109" s="119"/>
      <c r="K109" s="119"/>
      <c r="L109" s="98"/>
      <c r="M109" s="98"/>
      <c r="N109" s="98"/>
      <c r="O109" s="98"/>
      <c r="P109" s="98"/>
      <c r="Q109" s="98"/>
      <c r="R109" s="98"/>
      <c r="T109" s="100"/>
    </row>
    <row r="110" spans="1:20" s="99" customFormat="1" ht="13.5" customHeight="1" thickBot="1">
      <c r="A110" s="244"/>
      <c r="B110" s="245"/>
      <c r="C110" s="246"/>
      <c r="D110" s="279"/>
      <c r="E110" s="280"/>
      <c r="F110" s="281"/>
      <c r="G110" s="201"/>
      <c r="H110" s="119"/>
      <c r="I110" s="119"/>
      <c r="J110" s="119"/>
      <c r="K110" s="119"/>
      <c r="L110" s="98"/>
      <c r="M110" s="98"/>
      <c r="N110" s="98"/>
      <c r="O110" s="98"/>
      <c r="P110" s="98"/>
      <c r="Q110" s="98"/>
      <c r="R110" s="98"/>
      <c r="T110" s="100"/>
    </row>
    <row r="111" spans="1:20" s="210" customFormat="1" ht="16.5" customHeight="1" thickBot="1">
      <c r="A111" s="202" t="s">
        <v>13</v>
      </c>
      <c r="B111" s="203" t="s">
        <v>950</v>
      </c>
      <c r="C111" s="204" t="s">
        <v>215</v>
      </c>
      <c r="D111" s="205"/>
      <c r="E111" s="206"/>
      <c r="F111" s="207"/>
      <c r="G111" s="208"/>
      <c r="H111" s="192"/>
      <c r="I111" s="192"/>
      <c r="J111" s="192"/>
      <c r="K111" s="192"/>
      <c r="L111" s="209"/>
      <c r="M111" s="209"/>
      <c r="N111" s="209"/>
      <c r="O111" s="209"/>
      <c r="P111" s="209"/>
      <c r="Q111" s="209"/>
      <c r="R111" s="209"/>
      <c r="T111" s="211"/>
    </row>
    <row r="112" spans="1:20" s="79" customFormat="1" ht="12.75">
      <c r="A112" s="70"/>
      <c r="B112" s="71"/>
      <c r="C112" s="72"/>
      <c r="D112" s="73"/>
      <c r="E112" s="74"/>
      <c r="F112" s="75"/>
      <c r="G112" s="76"/>
      <c r="H112" s="77"/>
      <c r="I112" s="77"/>
      <c r="J112" s="77"/>
      <c r="K112" s="77"/>
      <c r="L112" s="78"/>
      <c r="M112" s="78"/>
      <c r="N112" s="78"/>
      <c r="O112" s="78"/>
      <c r="P112" s="78"/>
      <c r="Q112" s="78"/>
      <c r="R112" s="78"/>
      <c r="T112" s="80"/>
    </row>
    <row r="113" spans="1:20" s="626" customFormat="1" ht="21.75" customHeight="1">
      <c r="A113" s="618"/>
      <c r="B113" s="619" t="s">
        <v>849</v>
      </c>
      <c r="C113" s="637" t="s">
        <v>869</v>
      </c>
      <c r="D113" s="620"/>
      <c r="E113" s="621"/>
      <c r="F113" s="622"/>
      <c r="G113" s="623"/>
      <c r="H113" s="624"/>
      <c r="I113" s="624"/>
      <c r="J113" s="624"/>
      <c r="K113" s="624"/>
      <c r="L113" s="625"/>
      <c r="M113" s="625"/>
      <c r="N113" s="625"/>
      <c r="O113" s="625"/>
      <c r="P113" s="625"/>
      <c r="Q113" s="625"/>
      <c r="R113" s="625"/>
      <c r="T113" s="627"/>
    </row>
    <row r="114" spans="1:20" s="262" customFormat="1" ht="19.5" customHeight="1">
      <c r="A114" s="258" t="s">
        <v>28</v>
      </c>
      <c r="B114" s="33" t="s">
        <v>987</v>
      </c>
      <c r="C114" s="259" t="s">
        <v>988</v>
      </c>
      <c r="D114" s="333" t="s">
        <v>18</v>
      </c>
      <c r="E114" s="228">
        <f>465.5*1.02-0.01</f>
        <v>474.8</v>
      </c>
      <c r="F114" s="228"/>
      <c r="G114" s="218">
        <f>$E114*F114</f>
        <v>0</v>
      </c>
      <c r="H114" s="230">
        <v>0.08</v>
      </c>
      <c r="I114" s="19">
        <f>E114*H114</f>
        <v>37.984</v>
      </c>
      <c r="J114" s="230"/>
      <c r="K114" s="230"/>
      <c r="L114" s="261"/>
      <c r="M114" s="261"/>
      <c r="N114" s="261"/>
      <c r="O114" s="261"/>
      <c r="P114" s="261"/>
      <c r="Q114" s="261"/>
      <c r="R114" s="261"/>
      <c r="T114" s="263"/>
    </row>
    <row r="115" spans="1:20" s="256" customFormat="1" ht="32.25" customHeight="1">
      <c r="A115" s="258" t="s">
        <v>29</v>
      </c>
      <c r="B115" s="331" t="s">
        <v>219</v>
      </c>
      <c r="C115" s="259" t="s">
        <v>852</v>
      </c>
      <c r="D115" s="333" t="s">
        <v>18</v>
      </c>
      <c r="E115" s="334">
        <v>465.5</v>
      </c>
      <c r="F115" s="335"/>
      <c r="G115" s="34">
        <f>$E115*F115</f>
        <v>0</v>
      </c>
      <c r="H115" s="283">
        <v>0.20532</v>
      </c>
      <c r="I115" s="230">
        <f>E115*H115</f>
        <v>95.57646</v>
      </c>
      <c r="J115" s="283"/>
      <c r="K115" s="283"/>
      <c r="L115" s="255"/>
      <c r="M115" s="255"/>
      <c r="N115" s="255"/>
      <c r="O115" s="255"/>
      <c r="P115" s="255"/>
      <c r="Q115" s="255"/>
      <c r="R115" s="255"/>
      <c r="T115" s="257"/>
    </row>
    <row r="116" spans="1:20" s="225" customFormat="1" ht="13.5" customHeight="1">
      <c r="A116" s="219"/>
      <c r="B116" s="220"/>
      <c r="C116" s="264"/>
      <c r="D116" s="221"/>
      <c r="E116" s="265"/>
      <c r="F116" s="221"/>
      <c r="G116" s="222"/>
      <c r="H116" s="223"/>
      <c r="I116" s="223"/>
      <c r="J116" s="223"/>
      <c r="K116" s="223"/>
      <c r="L116" s="224"/>
      <c r="M116" s="224"/>
      <c r="N116" s="224"/>
      <c r="O116" s="224"/>
      <c r="P116" s="224"/>
      <c r="Q116" s="224"/>
      <c r="R116" s="224"/>
      <c r="T116" s="226"/>
    </row>
    <row r="117" spans="1:20" s="641" customFormat="1" ht="21.75" customHeight="1">
      <c r="A117" s="618"/>
      <c r="B117" s="619" t="s">
        <v>850</v>
      </c>
      <c r="C117" s="637" t="s">
        <v>870</v>
      </c>
      <c r="D117" s="620"/>
      <c r="E117" s="621"/>
      <c r="F117" s="622"/>
      <c r="G117" s="623"/>
      <c r="H117" s="624"/>
      <c r="I117" s="624"/>
      <c r="J117" s="624"/>
      <c r="K117" s="624"/>
      <c r="L117" s="640"/>
      <c r="M117" s="640"/>
      <c r="N117" s="640"/>
      <c r="O117" s="640"/>
      <c r="P117" s="640"/>
      <c r="Q117" s="640"/>
      <c r="R117" s="640"/>
      <c r="T117" s="642"/>
    </row>
    <row r="118" spans="1:20" s="262" customFormat="1" ht="19.5" customHeight="1">
      <c r="A118" s="258" t="s">
        <v>30</v>
      </c>
      <c r="B118" s="33" t="s">
        <v>989</v>
      </c>
      <c r="C118" s="259" t="s">
        <v>990</v>
      </c>
      <c r="D118" s="333" t="s">
        <v>18</v>
      </c>
      <c r="E118" s="228">
        <f>SUM(D119)</f>
        <v>150.00200000000004</v>
      </c>
      <c r="F118" s="228"/>
      <c r="G118" s="218">
        <f>$E118*F118</f>
        <v>0</v>
      </c>
      <c r="H118" s="230">
        <v>0.0982</v>
      </c>
      <c r="I118" s="230">
        <f>E118*H118</f>
        <v>14.730196400000002</v>
      </c>
      <c r="J118" s="230"/>
      <c r="K118" s="230"/>
      <c r="L118" s="261"/>
      <c r="M118" s="261"/>
      <c r="N118" s="261"/>
      <c r="O118" s="261"/>
      <c r="P118" s="261"/>
      <c r="Q118" s="261"/>
      <c r="R118" s="261"/>
      <c r="T118" s="263"/>
    </row>
    <row r="119" spans="1:13" s="381" customFormat="1" ht="18.75" customHeight="1">
      <c r="A119" s="219"/>
      <c r="B119" s="375"/>
      <c r="C119" s="376" t="s">
        <v>855</v>
      </c>
      <c r="D119" s="377">
        <f>(50.9+13.1+6.8+10.5+25.6+21.5+10.5)*1.08-0.01</f>
        <v>150.00200000000004</v>
      </c>
      <c r="E119" s="91"/>
      <c r="F119" s="378"/>
      <c r="G119" s="519"/>
      <c r="H119" s="379"/>
      <c r="I119" s="379"/>
      <c r="J119" s="379"/>
      <c r="K119" s="379"/>
      <c r="L119" s="380"/>
      <c r="M119" s="380"/>
    </row>
    <row r="120" spans="1:20" s="262" customFormat="1" ht="19.5" customHeight="1">
      <c r="A120" s="258" t="s">
        <v>31</v>
      </c>
      <c r="B120" s="33" t="s">
        <v>991</v>
      </c>
      <c r="C120" s="259" t="s">
        <v>992</v>
      </c>
      <c r="D120" s="333" t="s">
        <v>18</v>
      </c>
      <c r="E120" s="228">
        <f>465.5*1.05+0.02</f>
        <v>488.795</v>
      </c>
      <c r="F120" s="228"/>
      <c r="G120" s="218">
        <f>$E120*F120</f>
        <v>0</v>
      </c>
      <c r="H120" s="230">
        <v>0.18907</v>
      </c>
      <c r="I120" s="19">
        <f>E120*H120</f>
        <v>92.41647065</v>
      </c>
      <c r="J120" s="230"/>
      <c r="K120" s="230"/>
      <c r="L120" s="261"/>
      <c r="M120" s="261"/>
      <c r="N120" s="261"/>
      <c r="O120" s="261"/>
      <c r="P120" s="261"/>
      <c r="Q120" s="261"/>
      <c r="R120" s="261"/>
      <c r="T120" s="263"/>
    </row>
    <row r="121" spans="1:20" s="262" customFormat="1" ht="36" customHeight="1">
      <c r="A121" s="258" t="s">
        <v>32</v>
      </c>
      <c r="B121" s="33" t="s">
        <v>217</v>
      </c>
      <c r="C121" s="259" t="s">
        <v>218</v>
      </c>
      <c r="D121" s="260" t="s">
        <v>18</v>
      </c>
      <c r="E121" s="228">
        <f>SUM(D122)</f>
        <v>138.9</v>
      </c>
      <c r="F121" s="228"/>
      <c r="G121" s="218">
        <f>$E121*F121</f>
        <v>0</v>
      </c>
      <c r="H121" s="230">
        <v>0.16896</v>
      </c>
      <c r="I121" s="230">
        <f>E121*H121</f>
        <v>23.468544</v>
      </c>
      <c r="J121" s="230"/>
      <c r="K121" s="230"/>
      <c r="L121" s="261"/>
      <c r="M121" s="261"/>
      <c r="N121" s="261"/>
      <c r="O121" s="261"/>
      <c r="P121" s="261"/>
      <c r="Q121" s="261"/>
      <c r="R121" s="261"/>
      <c r="T121" s="263"/>
    </row>
    <row r="122" spans="1:13" s="381" customFormat="1" ht="18.75" customHeight="1">
      <c r="A122" s="628"/>
      <c r="B122" s="629"/>
      <c r="C122" s="630" t="s">
        <v>854</v>
      </c>
      <c r="D122" s="631">
        <f>50.9+13.1+6.8+10.5+25.6+21.5+10.5</f>
        <v>138.9</v>
      </c>
      <c r="E122" s="91"/>
      <c r="F122" s="632"/>
      <c r="G122" s="633"/>
      <c r="H122" s="379"/>
      <c r="I122" s="379"/>
      <c r="J122" s="379"/>
      <c r="K122" s="379"/>
      <c r="L122" s="380"/>
      <c r="M122" s="380"/>
    </row>
    <row r="123" spans="1:13" s="381" customFormat="1" ht="18.75" customHeight="1">
      <c r="A123" s="628"/>
      <c r="B123" s="629"/>
      <c r="C123" s="630"/>
      <c r="D123" s="631"/>
      <c r="E123" s="91"/>
      <c r="F123" s="632"/>
      <c r="G123" s="633"/>
      <c r="H123" s="379"/>
      <c r="I123" s="379"/>
      <c r="J123" s="379"/>
      <c r="K123" s="379"/>
      <c r="L123" s="380"/>
      <c r="M123" s="380"/>
    </row>
    <row r="124" spans="1:20" s="641" customFormat="1" ht="21.75" customHeight="1">
      <c r="A124" s="618"/>
      <c r="B124" s="619" t="s">
        <v>851</v>
      </c>
      <c r="C124" s="637" t="s">
        <v>871</v>
      </c>
      <c r="D124" s="620"/>
      <c r="E124" s="621"/>
      <c r="F124" s="622"/>
      <c r="G124" s="623"/>
      <c r="H124" s="624"/>
      <c r="I124" s="624"/>
      <c r="J124" s="624"/>
      <c r="K124" s="624"/>
      <c r="L124" s="640"/>
      <c r="M124" s="640"/>
      <c r="N124" s="640"/>
      <c r="O124" s="640"/>
      <c r="P124" s="640"/>
      <c r="Q124" s="640"/>
      <c r="R124" s="640"/>
      <c r="T124" s="642"/>
    </row>
    <row r="125" spans="1:20" s="262" customFormat="1" ht="27" customHeight="1">
      <c r="A125" s="258" t="s">
        <v>33</v>
      </c>
      <c r="B125" s="331" t="s">
        <v>220</v>
      </c>
      <c r="C125" s="259" t="s">
        <v>993</v>
      </c>
      <c r="D125" s="333" t="s">
        <v>18</v>
      </c>
      <c r="E125" s="228">
        <v>31</v>
      </c>
      <c r="F125" s="228"/>
      <c r="G125" s="218">
        <f aca="true" t="shared" si="19" ref="G125:G137">$E125*F125</f>
        <v>0</v>
      </c>
      <c r="H125" s="230">
        <v>0.15559</v>
      </c>
      <c r="I125" s="19">
        <f>E125*H125</f>
        <v>4.82329</v>
      </c>
      <c r="J125" s="230"/>
      <c r="K125" s="230"/>
      <c r="L125" s="261"/>
      <c r="M125" s="261"/>
      <c r="N125" s="261"/>
      <c r="O125" s="261"/>
      <c r="P125" s="261"/>
      <c r="Q125" s="261"/>
      <c r="R125" s="261"/>
      <c r="T125" s="263"/>
    </row>
    <row r="126" spans="1:20" s="225" customFormat="1" ht="15" customHeight="1">
      <c r="A126" s="219"/>
      <c r="B126" s="220"/>
      <c r="C126" s="264" t="s">
        <v>1002</v>
      </c>
      <c r="D126" s="221">
        <f>17.1+13.9</f>
        <v>31</v>
      </c>
      <c r="E126" s="265"/>
      <c r="F126" s="221"/>
      <c r="G126" s="222"/>
      <c r="H126" s="223"/>
      <c r="I126" s="223"/>
      <c r="J126" s="223"/>
      <c r="K126" s="223"/>
      <c r="L126" s="224"/>
      <c r="M126" s="224"/>
      <c r="N126" s="224"/>
      <c r="O126" s="224"/>
      <c r="P126" s="224"/>
      <c r="Q126" s="224"/>
      <c r="R126" s="224"/>
      <c r="T126" s="226"/>
    </row>
    <row r="127" spans="1:20" s="262" customFormat="1" ht="19.5" customHeight="1">
      <c r="A127" s="258" t="s">
        <v>34</v>
      </c>
      <c r="B127" s="33"/>
      <c r="C127" s="259" t="s">
        <v>994</v>
      </c>
      <c r="D127" s="333" t="s">
        <v>18</v>
      </c>
      <c r="E127" s="228">
        <v>31</v>
      </c>
      <c r="F127" s="228"/>
      <c r="G127" s="218">
        <f t="shared" si="19"/>
        <v>0</v>
      </c>
      <c r="H127" s="230"/>
      <c r="I127" s="230"/>
      <c r="J127" s="230"/>
      <c r="K127" s="230"/>
      <c r="L127" s="261"/>
      <c r="M127" s="261"/>
      <c r="N127" s="261"/>
      <c r="O127" s="261"/>
      <c r="P127" s="261"/>
      <c r="Q127" s="261"/>
      <c r="R127" s="261"/>
      <c r="T127" s="263"/>
    </row>
    <row r="128" spans="1:20" s="262" customFormat="1" ht="19.5" customHeight="1">
      <c r="A128" s="258" t="s">
        <v>35</v>
      </c>
      <c r="B128" s="33"/>
      <c r="C128" s="259" t="s">
        <v>995</v>
      </c>
      <c r="D128" s="333" t="s">
        <v>18</v>
      </c>
      <c r="E128" s="228">
        <v>31</v>
      </c>
      <c r="F128" s="228"/>
      <c r="G128" s="218">
        <f t="shared" si="19"/>
        <v>0</v>
      </c>
      <c r="H128" s="230">
        <v>0.2799</v>
      </c>
      <c r="I128" s="19">
        <f>E128*H128</f>
        <v>8.6769</v>
      </c>
      <c r="J128" s="230"/>
      <c r="K128" s="230"/>
      <c r="L128" s="261"/>
      <c r="M128" s="261"/>
      <c r="N128" s="261"/>
      <c r="O128" s="261"/>
      <c r="P128" s="261"/>
      <c r="Q128" s="261"/>
      <c r="R128" s="261"/>
      <c r="T128" s="263"/>
    </row>
    <row r="129" spans="1:20" s="262" customFormat="1" ht="19.5" customHeight="1">
      <c r="A129" s="258"/>
      <c r="B129" s="33"/>
      <c r="C129" s="259"/>
      <c r="D129" s="333"/>
      <c r="E129" s="228"/>
      <c r="F129" s="228"/>
      <c r="G129" s="218"/>
      <c r="H129" s="230"/>
      <c r="I129" s="230"/>
      <c r="J129" s="230"/>
      <c r="K129" s="230"/>
      <c r="L129" s="261"/>
      <c r="M129" s="261"/>
      <c r="N129" s="261"/>
      <c r="O129" s="261"/>
      <c r="P129" s="261"/>
      <c r="Q129" s="261"/>
      <c r="R129" s="261"/>
      <c r="T129" s="263"/>
    </row>
    <row r="130" spans="1:20" s="262" customFormat="1" ht="27" customHeight="1">
      <c r="A130" s="258" t="s">
        <v>37</v>
      </c>
      <c r="B130" s="33"/>
      <c r="C130" s="259" t="s">
        <v>997</v>
      </c>
      <c r="D130" s="333" t="s">
        <v>18</v>
      </c>
      <c r="E130" s="334">
        <f>SUM(D131)</f>
        <v>60.800000000000004</v>
      </c>
      <c r="F130" s="228"/>
      <c r="G130" s="218">
        <f t="shared" si="19"/>
        <v>0</v>
      </c>
      <c r="H130" s="230">
        <v>0.12966</v>
      </c>
      <c r="I130" s="19">
        <f>E130*H130</f>
        <v>7.883328000000001</v>
      </c>
      <c r="J130" s="230"/>
      <c r="K130" s="230"/>
      <c r="L130" s="261"/>
      <c r="M130" s="261"/>
      <c r="N130" s="261"/>
      <c r="O130" s="261"/>
      <c r="P130" s="261"/>
      <c r="Q130" s="261"/>
      <c r="R130" s="261"/>
      <c r="T130" s="263"/>
    </row>
    <row r="131" spans="1:20" s="225" customFormat="1" ht="15" customHeight="1">
      <c r="A131" s="258"/>
      <c r="B131" s="220"/>
      <c r="C131" s="264" t="s">
        <v>1003</v>
      </c>
      <c r="D131" s="221">
        <f>54.6+6.2</f>
        <v>60.800000000000004</v>
      </c>
      <c r="E131" s="265"/>
      <c r="F131" s="221"/>
      <c r="G131" s="222"/>
      <c r="H131" s="223"/>
      <c r="I131" s="223"/>
      <c r="J131" s="223"/>
      <c r="K131" s="223"/>
      <c r="L131" s="224"/>
      <c r="M131" s="224"/>
      <c r="N131" s="224"/>
      <c r="O131" s="224"/>
      <c r="P131" s="224"/>
      <c r="Q131" s="224"/>
      <c r="R131" s="224"/>
      <c r="T131" s="226"/>
    </row>
    <row r="132" spans="1:20" s="262" customFormat="1" ht="19.5" customHeight="1">
      <c r="A132" s="258" t="s">
        <v>221</v>
      </c>
      <c r="B132" s="33"/>
      <c r="C132" s="259" t="s">
        <v>996</v>
      </c>
      <c r="D132" s="333" t="s">
        <v>18</v>
      </c>
      <c r="E132" s="228">
        <v>61</v>
      </c>
      <c r="F132" s="228"/>
      <c r="G132" s="218">
        <f t="shared" si="19"/>
        <v>0</v>
      </c>
      <c r="H132" s="230"/>
      <c r="I132" s="230"/>
      <c r="J132" s="230"/>
      <c r="K132" s="230"/>
      <c r="L132" s="261"/>
      <c r="M132" s="261"/>
      <c r="N132" s="261"/>
      <c r="O132" s="261"/>
      <c r="P132" s="261"/>
      <c r="Q132" s="261"/>
      <c r="R132" s="261"/>
      <c r="T132" s="263"/>
    </row>
    <row r="133" spans="1:20" s="262" customFormat="1" ht="27.75" customHeight="1">
      <c r="A133" s="258" t="s">
        <v>222</v>
      </c>
      <c r="B133" s="33"/>
      <c r="C133" s="259" t="s">
        <v>998</v>
      </c>
      <c r="D133" s="333" t="s">
        <v>18</v>
      </c>
      <c r="E133" s="228">
        <v>61.2</v>
      </c>
      <c r="F133" s="228"/>
      <c r="G133" s="218">
        <f t="shared" si="19"/>
        <v>0</v>
      </c>
      <c r="H133" s="230">
        <v>0.211</v>
      </c>
      <c r="I133" s="19">
        <f>E133*H133</f>
        <v>12.9132</v>
      </c>
      <c r="J133" s="230"/>
      <c r="K133" s="230"/>
      <c r="L133" s="261"/>
      <c r="M133" s="261"/>
      <c r="N133" s="261"/>
      <c r="O133" s="261"/>
      <c r="P133" s="261"/>
      <c r="Q133" s="261"/>
      <c r="R133" s="261"/>
      <c r="T133" s="263"/>
    </row>
    <row r="134" spans="1:20" s="262" customFormat="1" ht="19.5" customHeight="1">
      <c r="A134" s="258" t="s">
        <v>225</v>
      </c>
      <c r="B134" s="33"/>
      <c r="C134" s="259" t="s">
        <v>994</v>
      </c>
      <c r="D134" s="333" t="s">
        <v>18</v>
      </c>
      <c r="E134" s="228">
        <v>61.5</v>
      </c>
      <c r="F134" s="228"/>
      <c r="G134" s="218">
        <f t="shared" si="19"/>
        <v>0</v>
      </c>
      <c r="H134" s="230"/>
      <c r="I134" s="230"/>
      <c r="J134" s="230"/>
      <c r="K134" s="230"/>
      <c r="L134" s="261"/>
      <c r="M134" s="261"/>
      <c r="N134" s="261"/>
      <c r="O134" s="261"/>
      <c r="P134" s="261"/>
      <c r="Q134" s="261"/>
      <c r="R134" s="261"/>
      <c r="T134" s="263"/>
    </row>
    <row r="135" spans="1:20" s="262" customFormat="1" ht="19.5" customHeight="1">
      <c r="A135" s="258" t="s">
        <v>751</v>
      </c>
      <c r="B135" s="33"/>
      <c r="C135" s="259" t="s">
        <v>999</v>
      </c>
      <c r="D135" s="333" t="s">
        <v>18</v>
      </c>
      <c r="E135" s="228">
        <v>61.5</v>
      </c>
      <c r="F135" s="228"/>
      <c r="G135" s="218">
        <f t="shared" si="19"/>
        <v>0</v>
      </c>
      <c r="H135" s="230">
        <v>0.27994</v>
      </c>
      <c r="I135" s="19">
        <f aca="true" t="shared" si="20" ref="I135:I136">E135*H135</f>
        <v>17.21631</v>
      </c>
      <c r="J135" s="230"/>
      <c r="K135" s="230"/>
      <c r="L135" s="261"/>
      <c r="M135" s="261"/>
      <c r="N135" s="261"/>
      <c r="O135" s="261"/>
      <c r="P135" s="261"/>
      <c r="Q135" s="261"/>
      <c r="R135" s="261"/>
      <c r="T135" s="263"/>
    </row>
    <row r="136" spans="1:20" s="262" customFormat="1" ht="19.5" customHeight="1">
      <c r="A136" s="258" t="s">
        <v>752</v>
      </c>
      <c r="B136" s="33"/>
      <c r="C136" s="259" t="s">
        <v>1000</v>
      </c>
      <c r="D136" s="333" t="s">
        <v>18</v>
      </c>
      <c r="E136" s="228">
        <v>61.5</v>
      </c>
      <c r="F136" s="228"/>
      <c r="G136" s="218">
        <f t="shared" si="19"/>
        <v>0</v>
      </c>
      <c r="H136" s="230">
        <v>0.378</v>
      </c>
      <c r="I136" s="19">
        <f t="shared" si="20"/>
        <v>23.247</v>
      </c>
      <c r="J136" s="230"/>
      <c r="K136" s="230"/>
      <c r="L136" s="261"/>
      <c r="M136" s="261"/>
      <c r="N136" s="261"/>
      <c r="O136" s="261"/>
      <c r="P136" s="261"/>
      <c r="Q136" s="261"/>
      <c r="R136" s="261"/>
      <c r="T136" s="263"/>
    </row>
    <row r="137" spans="1:20" s="262" customFormat="1" ht="19.5" customHeight="1">
      <c r="A137" s="258" t="s">
        <v>753</v>
      </c>
      <c r="B137" s="33"/>
      <c r="C137" s="259" t="s">
        <v>1001</v>
      </c>
      <c r="D137" s="333" t="s">
        <v>18</v>
      </c>
      <c r="E137" s="228">
        <f>E136*1.15-0.03</f>
        <v>70.695</v>
      </c>
      <c r="F137" s="228"/>
      <c r="G137" s="218">
        <f t="shared" si="19"/>
        <v>0</v>
      </c>
      <c r="H137" s="230"/>
      <c r="I137" s="230"/>
      <c r="J137" s="230"/>
      <c r="K137" s="230"/>
      <c r="L137" s="261"/>
      <c r="M137" s="261"/>
      <c r="N137" s="261"/>
      <c r="O137" s="261"/>
      <c r="P137" s="261"/>
      <c r="Q137" s="261"/>
      <c r="R137" s="261"/>
      <c r="T137" s="263"/>
    </row>
    <row r="138" spans="1:20" s="225" customFormat="1" ht="18.75" customHeight="1">
      <c r="A138" s="219"/>
      <c r="B138" s="220"/>
      <c r="C138" s="264"/>
      <c r="D138" s="221"/>
      <c r="E138" s="265"/>
      <c r="F138" s="221"/>
      <c r="G138" s="222"/>
      <c r="H138" s="223"/>
      <c r="I138" s="223"/>
      <c r="J138" s="223"/>
      <c r="K138" s="223"/>
      <c r="L138" s="224"/>
      <c r="M138" s="224"/>
      <c r="N138" s="224"/>
      <c r="O138" s="224"/>
      <c r="P138" s="224"/>
      <c r="Q138" s="224"/>
      <c r="R138" s="224"/>
      <c r="T138" s="226"/>
    </row>
    <row r="139" spans="1:20" s="171" customFormat="1" ht="20.25" customHeight="1">
      <c r="A139" s="258" t="s">
        <v>754</v>
      </c>
      <c r="B139" s="344" t="s">
        <v>745</v>
      </c>
      <c r="C139" s="366" t="s">
        <v>746</v>
      </c>
      <c r="D139" s="382" t="s">
        <v>18</v>
      </c>
      <c r="E139" s="55">
        <v>29.3</v>
      </c>
      <c r="F139" s="368"/>
      <c r="G139" s="34">
        <f>$E139*F139</f>
        <v>0</v>
      </c>
      <c r="H139" s="137">
        <v>0.00361</v>
      </c>
      <c r="I139" s="230">
        <f>E139*H139</f>
        <v>0.105773</v>
      </c>
      <c r="J139" s="137"/>
      <c r="K139" s="137"/>
      <c r="L139" s="170"/>
      <c r="M139" s="170"/>
      <c r="N139" s="170"/>
      <c r="O139" s="170"/>
      <c r="P139" s="170"/>
      <c r="Q139" s="170"/>
      <c r="R139" s="170"/>
      <c r="T139" s="172"/>
    </row>
    <row r="140" spans="1:20" s="268" customFormat="1" ht="22.5" customHeight="1">
      <c r="A140" s="258" t="s">
        <v>755</v>
      </c>
      <c r="B140" s="227" t="s">
        <v>747</v>
      </c>
      <c r="C140" s="259" t="s">
        <v>748</v>
      </c>
      <c r="D140" s="590" t="s">
        <v>19</v>
      </c>
      <c r="E140" s="228">
        <f>SUM(D141)</f>
        <v>4.395</v>
      </c>
      <c r="F140" s="228"/>
      <c r="G140" s="34">
        <f>$E140*F140</f>
        <v>0</v>
      </c>
      <c r="H140" s="230">
        <v>0.0504</v>
      </c>
      <c r="I140" s="230">
        <f>E140*H140</f>
        <v>0.22150799999999998</v>
      </c>
      <c r="J140" s="383"/>
      <c r="K140" s="383"/>
      <c r="L140" s="384"/>
      <c r="M140" s="384"/>
      <c r="N140" s="384"/>
      <c r="O140" s="384"/>
      <c r="P140" s="384"/>
      <c r="Q140" s="384"/>
      <c r="R140" s="384"/>
      <c r="T140" s="269"/>
    </row>
    <row r="141" spans="1:20" s="289" customFormat="1" ht="18" customHeight="1">
      <c r="A141" s="219"/>
      <c r="B141" s="220"/>
      <c r="C141" s="264" t="s">
        <v>853</v>
      </c>
      <c r="D141" s="221">
        <f>29.3*0.15</f>
        <v>4.395</v>
      </c>
      <c r="E141" s="265"/>
      <c r="F141" s="221"/>
      <c r="G141" s="222"/>
      <c r="H141" s="223"/>
      <c r="I141" s="223"/>
      <c r="J141" s="223"/>
      <c r="K141" s="223"/>
      <c r="L141" s="288"/>
      <c r="M141" s="288"/>
      <c r="N141" s="288"/>
      <c r="O141" s="288"/>
      <c r="P141" s="288"/>
      <c r="Q141" s="288"/>
      <c r="R141" s="288"/>
      <c r="T141" s="290"/>
    </row>
    <row r="142" spans="1:20" s="225" customFormat="1" ht="19.5" customHeight="1">
      <c r="A142" s="219"/>
      <c r="B142" s="220"/>
      <c r="C142" s="264"/>
      <c r="D142" s="221"/>
      <c r="E142" s="265"/>
      <c r="F142" s="221"/>
      <c r="G142" s="222"/>
      <c r="H142" s="223"/>
      <c r="I142" s="223"/>
      <c r="J142" s="223"/>
      <c r="K142" s="223"/>
      <c r="L142" s="224"/>
      <c r="M142" s="224"/>
      <c r="N142" s="224"/>
      <c r="O142" s="224"/>
      <c r="P142" s="224"/>
      <c r="Q142" s="224"/>
      <c r="R142" s="224"/>
      <c r="T142" s="226"/>
    </row>
    <row r="143" spans="1:20" s="171" customFormat="1" ht="20.25" customHeight="1">
      <c r="A143" s="258" t="s">
        <v>756</v>
      </c>
      <c r="B143" s="344" t="s">
        <v>749</v>
      </c>
      <c r="C143" s="366" t="s">
        <v>750</v>
      </c>
      <c r="D143" s="382" t="s">
        <v>21</v>
      </c>
      <c r="E143" s="55">
        <f>SUM(D144:D145)</f>
        <v>96.60000000000002</v>
      </c>
      <c r="F143" s="368"/>
      <c r="G143" s="18">
        <f>$E143*F143</f>
        <v>0</v>
      </c>
      <c r="H143" s="254"/>
      <c r="I143" s="137"/>
      <c r="J143" s="137"/>
      <c r="K143" s="137"/>
      <c r="L143" s="170"/>
      <c r="M143" s="170"/>
      <c r="N143" s="170"/>
      <c r="O143" s="170"/>
      <c r="P143" s="170"/>
      <c r="Q143" s="170"/>
      <c r="R143" s="170"/>
      <c r="T143" s="172"/>
    </row>
    <row r="144" spans="1:13" s="381" customFormat="1" ht="18.75" customHeight="1">
      <c r="A144" s="628"/>
      <c r="B144" s="629" t="s">
        <v>857</v>
      </c>
      <c r="C144" s="630" t="s">
        <v>859</v>
      </c>
      <c r="D144" s="631">
        <f>20.3+6.4+2.2</f>
        <v>28.900000000000002</v>
      </c>
      <c r="E144" s="91"/>
      <c r="F144" s="632"/>
      <c r="G144" s="633"/>
      <c r="H144" s="379"/>
      <c r="I144" s="379"/>
      <c r="J144" s="379"/>
      <c r="K144" s="379"/>
      <c r="L144" s="380"/>
      <c r="M144" s="380"/>
    </row>
    <row r="145" spans="1:13" s="381" customFormat="1" ht="36" customHeight="1">
      <c r="A145" s="628"/>
      <c r="B145" s="629" t="s">
        <v>858</v>
      </c>
      <c r="C145" s="630" t="s">
        <v>860</v>
      </c>
      <c r="D145" s="631">
        <f>2.9+3.1+4+7.3+2.1+1.9+1.7+2.1+3.8+2.1+1.8+6.7+1.6+6.7+4+6.7+2.3*4</f>
        <v>67.70000000000002</v>
      </c>
      <c r="E145" s="91"/>
      <c r="F145" s="632"/>
      <c r="G145" s="633"/>
      <c r="H145" s="379"/>
      <c r="I145" s="379"/>
      <c r="J145" s="379"/>
      <c r="K145" s="379"/>
      <c r="L145" s="380"/>
      <c r="M145" s="380"/>
    </row>
    <row r="146" spans="1:20" s="59" customFormat="1" ht="18" customHeight="1">
      <c r="A146" s="258" t="s">
        <v>757</v>
      </c>
      <c r="B146" s="33" t="s">
        <v>216</v>
      </c>
      <c r="C146" s="14" t="s">
        <v>861</v>
      </c>
      <c r="D146" s="15" t="s">
        <v>21</v>
      </c>
      <c r="E146" s="17">
        <f>SUM(D147:D148)</f>
        <v>96.60000000000002</v>
      </c>
      <c r="F146" s="17"/>
      <c r="G146" s="18">
        <f>$E146*F146</f>
        <v>0</v>
      </c>
      <c r="H146" s="19">
        <v>0.188</v>
      </c>
      <c r="I146" s="19">
        <f>E146*H146</f>
        <v>18.160800000000005</v>
      </c>
      <c r="J146" s="19"/>
      <c r="K146" s="37"/>
      <c r="L146" s="58"/>
      <c r="M146" s="20"/>
      <c r="N146" s="20"/>
      <c r="O146" s="20"/>
      <c r="P146" s="20"/>
      <c r="Q146" s="20"/>
      <c r="R146" s="20"/>
      <c r="T146" s="60"/>
    </row>
    <row r="147" spans="1:13" s="381" customFormat="1" ht="18.75" customHeight="1">
      <c r="A147" s="628"/>
      <c r="B147" s="629" t="s">
        <v>857</v>
      </c>
      <c r="C147" s="630" t="s">
        <v>859</v>
      </c>
      <c r="D147" s="631">
        <f>20.3+6.4+2.2</f>
        <v>28.900000000000002</v>
      </c>
      <c r="E147" s="91"/>
      <c r="F147" s="632"/>
      <c r="G147" s="633"/>
      <c r="H147" s="379"/>
      <c r="I147" s="379"/>
      <c r="J147" s="379"/>
      <c r="K147" s="379"/>
      <c r="L147" s="380"/>
      <c r="M147" s="380"/>
    </row>
    <row r="148" spans="1:13" s="381" customFormat="1" ht="36" customHeight="1">
      <c r="A148" s="628"/>
      <c r="B148" s="629" t="s">
        <v>858</v>
      </c>
      <c r="C148" s="630" t="s">
        <v>860</v>
      </c>
      <c r="D148" s="631">
        <f>2.9+3.1+4+7.3+2.1+1.9+1.7+2.1+3.8+2.1+1.8+6.7+1.6+6.7+4+6.7+2.3*4</f>
        <v>67.70000000000002</v>
      </c>
      <c r="E148" s="91"/>
      <c r="F148" s="632"/>
      <c r="G148" s="633"/>
      <c r="H148" s="379"/>
      <c r="I148" s="379"/>
      <c r="J148" s="379"/>
      <c r="K148" s="379"/>
      <c r="L148" s="380"/>
      <c r="M148" s="380"/>
    </row>
    <row r="149" spans="1:20" s="256" customFormat="1" ht="13.5" customHeight="1">
      <c r="A149" s="301"/>
      <c r="B149" s="331"/>
      <c r="C149" s="332"/>
      <c r="D149" s="333"/>
      <c r="E149" s="334"/>
      <c r="F149" s="569"/>
      <c r="G149" s="34"/>
      <c r="H149" s="283"/>
      <c r="I149" s="283"/>
      <c r="J149" s="283"/>
      <c r="K149" s="283"/>
      <c r="L149" s="255"/>
      <c r="M149" s="255"/>
      <c r="N149" s="255"/>
      <c r="O149" s="255"/>
      <c r="P149" s="255"/>
      <c r="Q149" s="255"/>
      <c r="R149" s="255"/>
      <c r="T149" s="257"/>
    </row>
    <row r="150" spans="1:20" s="256" customFormat="1" ht="30" customHeight="1">
      <c r="A150" s="258" t="s">
        <v>758</v>
      </c>
      <c r="B150" s="331" t="s">
        <v>1004</v>
      </c>
      <c r="C150" s="332" t="s">
        <v>1005</v>
      </c>
      <c r="D150" s="333" t="s">
        <v>21</v>
      </c>
      <c r="E150" s="334">
        <f>SUM(D151)</f>
        <v>35.400000000000006</v>
      </c>
      <c r="F150" s="634"/>
      <c r="G150" s="18">
        <f aca="true" t="shared" si="21" ref="G150:G152">$E150*F150</f>
        <v>0</v>
      </c>
      <c r="H150" s="283">
        <v>0.10095</v>
      </c>
      <c r="I150" s="19">
        <f aca="true" t="shared" si="22" ref="I150:I152">E150*H150</f>
        <v>3.5736300000000005</v>
      </c>
      <c r="J150" s="283"/>
      <c r="K150" s="283"/>
      <c r="L150" s="255"/>
      <c r="M150" s="255"/>
      <c r="N150" s="255"/>
      <c r="O150" s="255"/>
      <c r="P150" s="255"/>
      <c r="Q150" s="255"/>
      <c r="R150" s="255"/>
      <c r="T150" s="257"/>
    </row>
    <row r="151" spans="1:13" s="381" customFormat="1" ht="18.75" customHeight="1">
      <c r="A151" s="628"/>
      <c r="B151" s="629"/>
      <c r="C151" s="630" t="s">
        <v>1008</v>
      </c>
      <c r="D151" s="631">
        <f>2.1+16.6+16.7</f>
        <v>35.400000000000006</v>
      </c>
      <c r="E151" s="91"/>
      <c r="F151" s="632"/>
      <c r="G151" s="633"/>
      <c r="H151" s="379"/>
      <c r="I151" s="19"/>
      <c r="J151" s="379"/>
      <c r="K151" s="379"/>
      <c r="L151" s="380"/>
      <c r="M151" s="380"/>
    </row>
    <row r="152" spans="1:20" s="256" customFormat="1" ht="13.5" customHeight="1">
      <c r="A152" s="258" t="s">
        <v>759</v>
      </c>
      <c r="B152" s="331" t="s">
        <v>1006</v>
      </c>
      <c r="C152" s="332" t="s">
        <v>1007</v>
      </c>
      <c r="D152" s="333" t="s">
        <v>21</v>
      </c>
      <c r="E152" s="334">
        <f>E150*1.05+0.03</f>
        <v>37.20000000000001</v>
      </c>
      <c r="F152" s="634"/>
      <c r="G152" s="18">
        <f t="shared" si="21"/>
        <v>0</v>
      </c>
      <c r="H152" s="283">
        <v>0.022</v>
      </c>
      <c r="I152" s="19">
        <f t="shared" si="22"/>
        <v>0.8184000000000001</v>
      </c>
      <c r="J152" s="283"/>
      <c r="K152" s="283"/>
      <c r="L152" s="255"/>
      <c r="M152" s="255"/>
      <c r="N152" s="255"/>
      <c r="O152" s="255"/>
      <c r="P152" s="255"/>
      <c r="Q152" s="255"/>
      <c r="R152" s="255"/>
      <c r="T152" s="257"/>
    </row>
    <row r="153" spans="1:20" s="256" customFormat="1" ht="13.5" customHeight="1">
      <c r="A153" s="301"/>
      <c r="B153" s="331"/>
      <c r="C153" s="332"/>
      <c r="D153" s="333"/>
      <c r="E153" s="334"/>
      <c r="F153" s="634"/>
      <c r="G153" s="34"/>
      <c r="H153" s="283"/>
      <c r="I153" s="283"/>
      <c r="J153" s="283"/>
      <c r="K153" s="283"/>
      <c r="L153" s="255"/>
      <c r="M153" s="255"/>
      <c r="N153" s="255"/>
      <c r="O153" s="255"/>
      <c r="P153" s="255"/>
      <c r="Q153" s="255"/>
      <c r="R153" s="255"/>
      <c r="T153" s="257"/>
    </row>
    <row r="154" spans="1:20" s="256" customFormat="1" ht="31.5" customHeight="1">
      <c r="A154" s="258" t="s">
        <v>760</v>
      </c>
      <c r="B154" s="331" t="s">
        <v>223</v>
      </c>
      <c r="C154" s="332" t="s">
        <v>224</v>
      </c>
      <c r="D154" s="333" t="s">
        <v>104</v>
      </c>
      <c r="E154" s="334">
        <v>499</v>
      </c>
      <c r="F154" s="335"/>
      <c r="G154" s="34">
        <f aca="true" t="shared" si="23" ref="G154">$E154*F154</f>
        <v>0</v>
      </c>
      <c r="H154" s="283"/>
      <c r="I154" s="283"/>
      <c r="J154" s="283"/>
      <c r="K154" s="283"/>
      <c r="L154" s="255"/>
      <c r="M154" s="255"/>
      <c r="N154" s="255"/>
      <c r="O154" s="255"/>
      <c r="P154" s="255"/>
      <c r="Q154" s="255"/>
      <c r="R154" s="255"/>
      <c r="T154" s="257"/>
    </row>
    <row r="155" spans="1:20" s="256" customFormat="1" ht="16.5" customHeight="1">
      <c r="A155" s="301"/>
      <c r="B155" s="331"/>
      <c r="C155" s="558"/>
      <c r="D155" s="559"/>
      <c r="E155" s="17"/>
      <c r="F155" s="335"/>
      <c r="G155" s="34"/>
      <c r="H155" s="283"/>
      <c r="I155" s="283"/>
      <c r="J155" s="283"/>
      <c r="K155" s="283"/>
      <c r="L155" s="255"/>
      <c r="M155" s="255"/>
      <c r="N155" s="255"/>
      <c r="O155" s="255"/>
      <c r="P155" s="255"/>
      <c r="Q155" s="255"/>
      <c r="R155" s="255"/>
      <c r="T155" s="257"/>
    </row>
    <row r="156" spans="1:20" s="256" customFormat="1" ht="21" customHeight="1">
      <c r="A156" s="258" t="s">
        <v>761</v>
      </c>
      <c r="B156" s="557" t="s">
        <v>226</v>
      </c>
      <c r="C156" s="558" t="s">
        <v>1019</v>
      </c>
      <c r="D156" s="559" t="s">
        <v>23</v>
      </c>
      <c r="E156" s="17">
        <f>SUM(I158)</f>
        <v>658.3644040390398</v>
      </c>
      <c r="F156" s="310"/>
      <c r="G156" s="34">
        <f aca="true" t="shared" si="24" ref="G156">$E156*F156</f>
        <v>0</v>
      </c>
      <c r="H156" s="283"/>
      <c r="I156" s="283"/>
      <c r="J156" s="283"/>
      <c r="K156" s="283"/>
      <c r="L156" s="255"/>
      <c r="M156" s="255"/>
      <c r="N156" s="255"/>
      <c r="O156" s="255"/>
      <c r="P156" s="255"/>
      <c r="Q156" s="255"/>
      <c r="R156" s="255"/>
      <c r="T156" s="257"/>
    </row>
    <row r="157" spans="1:20" s="79" customFormat="1" ht="17.25" customHeight="1" thickBot="1">
      <c r="A157" s="81"/>
      <c r="B157" s="82"/>
      <c r="C157" s="83"/>
      <c r="D157" s="84"/>
      <c r="E157" s="85"/>
      <c r="F157" s="86"/>
      <c r="G157" s="87"/>
      <c r="H157" s="77"/>
      <c r="I157" s="77"/>
      <c r="J157" s="77"/>
      <c r="K157" s="77"/>
      <c r="L157" s="78"/>
      <c r="M157" s="78"/>
      <c r="N157" s="78"/>
      <c r="O157" s="78"/>
      <c r="P157" s="78"/>
      <c r="Q157" s="78"/>
      <c r="R157" s="78"/>
      <c r="T157" s="80"/>
    </row>
    <row r="158" spans="1:20" s="99" customFormat="1" ht="16.5" customHeight="1" thickBot="1">
      <c r="A158" s="237"/>
      <c r="B158" s="238"/>
      <c r="C158" s="239"/>
      <c r="D158" s="240"/>
      <c r="E158" s="282"/>
      <c r="F158" s="278"/>
      <c r="G158" s="243">
        <f>SUBTOTAL(9,G112:G157)</f>
        <v>0</v>
      </c>
      <c r="H158" s="283"/>
      <c r="I158" s="284">
        <f>SUM(I109:I157)</f>
        <v>658.3644040390398</v>
      </c>
      <c r="J158" s="283"/>
      <c r="K158" s="283"/>
      <c r="L158" s="98"/>
      <c r="M158" s="98"/>
      <c r="N158" s="98"/>
      <c r="O158" s="98"/>
      <c r="P158" s="98"/>
      <c r="Q158" s="98"/>
      <c r="R158" s="98"/>
      <c r="T158" s="100"/>
    </row>
    <row r="159" spans="1:20" s="99" customFormat="1" ht="13.7" customHeight="1" thickBot="1">
      <c r="A159" s="244"/>
      <c r="B159" s="245"/>
      <c r="C159" s="246"/>
      <c r="D159" s="246"/>
      <c r="E159" s="285"/>
      <c r="F159" s="281"/>
      <c r="G159" s="201"/>
      <c r="H159" s="283"/>
      <c r="I159" s="283"/>
      <c r="J159" s="283"/>
      <c r="K159" s="283"/>
      <c r="L159" s="98"/>
      <c r="M159" s="98"/>
      <c r="N159" s="98"/>
      <c r="O159" s="98"/>
      <c r="P159" s="98"/>
      <c r="Q159" s="98"/>
      <c r="R159" s="98"/>
      <c r="T159" s="100"/>
    </row>
    <row r="160" spans="1:20" s="210" customFormat="1" ht="16.5" customHeight="1" thickBot="1">
      <c r="A160" s="202" t="s">
        <v>27</v>
      </c>
      <c r="B160" s="203" t="s">
        <v>881</v>
      </c>
      <c r="C160" s="204" t="s">
        <v>880</v>
      </c>
      <c r="D160" s="205"/>
      <c r="E160" s="206"/>
      <c r="F160" s="207"/>
      <c r="G160" s="208"/>
      <c r="H160" s="192"/>
      <c r="I160" s="192"/>
      <c r="J160" s="192"/>
      <c r="K160" s="192"/>
      <c r="L160" s="209"/>
      <c r="M160" s="209"/>
      <c r="N160" s="209"/>
      <c r="O160" s="209"/>
      <c r="P160" s="209"/>
      <c r="Q160" s="209"/>
      <c r="R160" s="209"/>
      <c r="T160" s="211"/>
    </row>
    <row r="161" spans="1:20" s="99" customFormat="1" ht="12.75">
      <c r="A161" s="212"/>
      <c r="B161" s="299"/>
      <c r="C161" s="213"/>
      <c r="D161" s="214"/>
      <c r="E161" s="287"/>
      <c r="F161" s="216"/>
      <c r="G161" s="300"/>
      <c r="H161" s="283"/>
      <c r="I161" s="283"/>
      <c r="J161" s="283"/>
      <c r="K161" s="283"/>
      <c r="L161" s="98"/>
      <c r="M161" s="98"/>
      <c r="N161" s="98"/>
      <c r="O161" s="98"/>
      <c r="P161" s="98"/>
      <c r="Q161" s="98"/>
      <c r="R161" s="98"/>
      <c r="T161" s="100"/>
    </row>
    <row r="162" spans="1:20" s="256" customFormat="1" ht="19.5" customHeight="1">
      <c r="A162" s="385" t="s">
        <v>38</v>
      </c>
      <c r="B162" s="331" t="s">
        <v>1013</v>
      </c>
      <c r="C162" s="546" t="s">
        <v>727</v>
      </c>
      <c r="D162" s="547" t="s">
        <v>104</v>
      </c>
      <c r="E162" s="548">
        <f>SUM(E163:E178)</f>
        <v>522.42963</v>
      </c>
      <c r="F162" s="549"/>
      <c r="G162" s="34">
        <f>$E162*F162</f>
        <v>0</v>
      </c>
      <c r="H162" s="283">
        <f>0.001</f>
        <v>0.001</v>
      </c>
      <c r="I162" s="230">
        <f>E162*H162</f>
        <v>0.52242963</v>
      </c>
      <c r="J162" s="283"/>
      <c r="K162" s="283"/>
      <c r="L162" s="255"/>
      <c r="M162" s="255"/>
      <c r="N162" s="255"/>
      <c r="O162" s="255"/>
      <c r="P162" s="255"/>
      <c r="Q162" s="255"/>
      <c r="R162" s="255"/>
      <c r="T162" s="257"/>
    </row>
    <row r="163" spans="1:20" s="256" customFormat="1" ht="18" customHeight="1">
      <c r="A163" s="301" t="s">
        <v>882</v>
      </c>
      <c r="B163" s="331" t="s">
        <v>713</v>
      </c>
      <c r="C163" s="332" t="s">
        <v>735</v>
      </c>
      <c r="D163" s="333" t="s">
        <v>104</v>
      </c>
      <c r="E163" s="334">
        <v>22.7032</v>
      </c>
      <c r="F163" s="335"/>
      <c r="G163" s="34"/>
      <c r="H163" s="283"/>
      <c r="I163" s="283"/>
      <c r="J163" s="283"/>
      <c r="K163" s="283"/>
      <c r="L163" s="255"/>
      <c r="M163" s="255"/>
      <c r="N163" s="255"/>
      <c r="O163" s="255"/>
      <c r="P163" s="255"/>
      <c r="Q163" s="255"/>
      <c r="R163" s="255"/>
      <c r="T163" s="257"/>
    </row>
    <row r="164" spans="1:20" s="256" customFormat="1" ht="18" customHeight="1">
      <c r="A164" s="301" t="s">
        <v>883</v>
      </c>
      <c r="B164" s="331" t="s">
        <v>714</v>
      </c>
      <c r="C164" s="332" t="s">
        <v>734</v>
      </c>
      <c r="D164" s="333" t="s">
        <v>104</v>
      </c>
      <c r="E164" s="334">
        <v>65.2717</v>
      </c>
      <c r="F164" s="335"/>
      <c r="G164" s="34"/>
      <c r="H164" s="283"/>
      <c r="I164" s="283"/>
      <c r="J164" s="283"/>
      <c r="K164" s="283"/>
      <c r="L164" s="255"/>
      <c r="M164" s="255"/>
      <c r="N164" s="255"/>
      <c r="O164" s="255"/>
      <c r="P164" s="255"/>
      <c r="Q164" s="255"/>
      <c r="R164" s="255"/>
      <c r="T164" s="257"/>
    </row>
    <row r="165" spans="1:20" s="256" customFormat="1" ht="18" customHeight="1">
      <c r="A165" s="301" t="s">
        <v>884</v>
      </c>
      <c r="B165" s="331" t="s">
        <v>713</v>
      </c>
      <c r="C165" s="332" t="s">
        <v>733</v>
      </c>
      <c r="D165" s="333" t="s">
        <v>104</v>
      </c>
      <c r="E165" s="334">
        <v>26.89456</v>
      </c>
      <c r="F165" s="335"/>
      <c r="G165" s="34"/>
      <c r="H165" s="283"/>
      <c r="I165" s="283"/>
      <c r="J165" s="283"/>
      <c r="K165" s="283"/>
      <c r="L165" s="255"/>
      <c r="M165" s="255"/>
      <c r="N165" s="255"/>
      <c r="O165" s="255"/>
      <c r="P165" s="255"/>
      <c r="Q165" s="255"/>
      <c r="R165" s="255"/>
      <c r="T165" s="257"/>
    </row>
    <row r="166" spans="1:20" s="256" customFormat="1" ht="18" customHeight="1">
      <c r="A166" s="301" t="s">
        <v>885</v>
      </c>
      <c r="B166" s="331" t="s">
        <v>714</v>
      </c>
      <c r="C166" s="332" t="s">
        <v>728</v>
      </c>
      <c r="D166" s="333" t="s">
        <v>104</v>
      </c>
      <c r="E166" s="334">
        <v>45.842999999999996</v>
      </c>
      <c r="F166" s="335"/>
      <c r="G166" s="34"/>
      <c r="H166" s="283"/>
      <c r="I166" s="283"/>
      <c r="J166" s="283"/>
      <c r="K166" s="283"/>
      <c r="L166" s="255"/>
      <c r="M166" s="255"/>
      <c r="N166" s="255"/>
      <c r="O166" s="255"/>
      <c r="P166" s="255"/>
      <c r="Q166" s="255"/>
      <c r="R166" s="255"/>
      <c r="T166" s="257"/>
    </row>
    <row r="167" spans="1:20" s="256" customFormat="1" ht="18" customHeight="1">
      <c r="A167" s="301" t="s">
        <v>886</v>
      </c>
      <c r="B167" s="331" t="s">
        <v>713</v>
      </c>
      <c r="C167" s="332" t="s">
        <v>732</v>
      </c>
      <c r="D167" s="333" t="s">
        <v>104</v>
      </c>
      <c r="E167" s="334">
        <v>25.322799999999997</v>
      </c>
      <c r="F167" s="335"/>
      <c r="G167" s="34"/>
      <c r="H167" s="283"/>
      <c r="I167" s="283"/>
      <c r="J167" s="283"/>
      <c r="K167" s="283"/>
      <c r="L167" s="255"/>
      <c r="M167" s="255"/>
      <c r="N167" s="255"/>
      <c r="O167" s="255"/>
      <c r="P167" s="255"/>
      <c r="Q167" s="255"/>
      <c r="R167" s="255"/>
      <c r="T167" s="257"/>
    </row>
    <row r="168" spans="1:20" s="256" customFormat="1" ht="18" customHeight="1">
      <c r="A168" s="301" t="s">
        <v>887</v>
      </c>
      <c r="B168" s="331" t="s">
        <v>714</v>
      </c>
      <c r="C168" s="332" t="s">
        <v>731</v>
      </c>
      <c r="D168" s="333" t="s">
        <v>104</v>
      </c>
      <c r="E168" s="334">
        <v>22.921499999999998</v>
      </c>
      <c r="F168" s="335"/>
      <c r="G168" s="34"/>
      <c r="H168" s="283"/>
      <c r="I168" s="283"/>
      <c r="J168" s="283"/>
      <c r="K168" s="283"/>
      <c r="L168" s="255"/>
      <c r="M168" s="255"/>
      <c r="N168" s="255"/>
      <c r="O168" s="255"/>
      <c r="P168" s="255"/>
      <c r="Q168" s="255"/>
      <c r="R168" s="255"/>
      <c r="T168" s="257"/>
    </row>
    <row r="169" spans="1:20" s="256" customFormat="1" ht="18" customHeight="1">
      <c r="A169" s="301" t="s">
        <v>888</v>
      </c>
      <c r="B169" s="331" t="s">
        <v>713</v>
      </c>
      <c r="C169" s="332" t="s">
        <v>730</v>
      </c>
      <c r="D169" s="333" t="s">
        <v>104</v>
      </c>
      <c r="E169" s="334">
        <v>6.5489999999999995</v>
      </c>
      <c r="F169" s="335"/>
      <c r="G169" s="34"/>
      <c r="H169" s="283"/>
      <c r="I169" s="283"/>
      <c r="J169" s="283"/>
      <c r="K169" s="283"/>
      <c r="L169" s="255"/>
      <c r="M169" s="255"/>
      <c r="N169" s="255"/>
      <c r="O169" s="255"/>
      <c r="P169" s="255"/>
      <c r="Q169" s="255"/>
      <c r="R169" s="255"/>
      <c r="T169" s="257"/>
    </row>
    <row r="170" spans="1:20" s="256" customFormat="1" ht="18" customHeight="1">
      <c r="A170" s="301" t="s">
        <v>889</v>
      </c>
      <c r="B170" s="331" t="s">
        <v>714</v>
      </c>
      <c r="C170" s="332" t="s">
        <v>729</v>
      </c>
      <c r="D170" s="333" t="s">
        <v>104</v>
      </c>
      <c r="E170" s="334">
        <v>96.92519999999999</v>
      </c>
      <c r="F170" s="335"/>
      <c r="G170" s="34"/>
      <c r="H170" s="283"/>
      <c r="I170" s="283"/>
      <c r="J170" s="283"/>
      <c r="K170" s="283"/>
      <c r="L170" s="255"/>
      <c r="M170" s="255"/>
      <c r="N170" s="255"/>
      <c r="O170" s="255"/>
      <c r="P170" s="255"/>
      <c r="Q170" s="255"/>
      <c r="R170" s="255"/>
      <c r="T170" s="257"/>
    </row>
    <row r="171" spans="1:20" s="256" customFormat="1" ht="18" customHeight="1">
      <c r="A171" s="301" t="s">
        <v>890</v>
      </c>
      <c r="B171" s="331" t="s">
        <v>713</v>
      </c>
      <c r="C171" s="332" t="s">
        <v>736</v>
      </c>
      <c r="D171" s="333" t="s">
        <v>104</v>
      </c>
      <c r="E171" s="334">
        <v>13.097999999999999</v>
      </c>
      <c r="F171" s="335"/>
      <c r="G171" s="34"/>
      <c r="H171" s="283"/>
      <c r="I171" s="283"/>
      <c r="J171" s="283"/>
      <c r="K171" s="283"/>
      <c r="L171" s="255"/>
      <c r="M171" s="255"/>
      <c r="N171" s="255"/>
      <c r="O171" s="255"/>
      <c r="P171" s="255"/>
      <c r="Q171" s="255"/>
      <c r="R171" s="255"/>
      <c r="T171" s="257"/>
    </row>
    <row r="172" spans="1:20" s="256" customFormat="1" ht="18" customHeight="1">
      <c r="A172" s="301" t="s">
        <v>891</v>
      </c>
      <c r="B172" s="331" t="s">
        <v>714</v>
      </c>
      <c r="C172" s="332" t="s">
        <v>737</v>
      </c>
      <c r="D172" s="333" t="s">
        <v>104</v>
      </c>
      <c r="E172" s="334">
        <v>16.3725</v>
      </c>
      <c r="F172" s="335"/>
      <c r="G172" s="34"/>
      <c r="H172" s="283"/>
      <c r="I172" s="283"/>
      <c r="J172" s="283"/>
      <c r="K172" s="283"/>
      <c r="L172" s="255"/>
      <c r="M172" s="255"/>
      <c r="N172" s="255"/>
      <c r="O172" s="255"/>
      <c r="P172" s="255"/>
      <c r="Q172" s="255"/>
      <c r="R172" s="255"/>
      <c r="T172" s="257"/>
    </row>
    <row r="173" spans="1:20" s="256" customFormat="1" ht="18" customHeight="1">
      <c r="A173" s="301" t="s">
        <v>892</v>
      </c>
      <c r="B173" s="331" t="s">
        <v>713</v>
      </c>
      <c r="C173" s="332" t="s">
        <v>738</v>
      </c>
      <c r="D173" s="333" t="s">
        <v>104</v>
      </c>
      <c r="E173" s="334">
        <v>21.480719999999998</v>
      </c>
      <c r="F173" s="335"/>
      <c r="G173" s="34"/>
      <c r="H173" s="283"/>
      <c r="I173" s="283"/>
      <c r="J173" s="283"/>
      <c r="K173" s="283"/>
      <c r="L173" s="255"/>
      <c r="M173" s="255"/>
      <c r="N173" s="255"/>
      <c r="O173" s="255"/>
      <c r="P173" s="255"/>
      <c r="Q173" s="255"/>
      <c r="R173" s="255"/>
      <c r="T173" s="257"/>
    </row>
    <row r="174" spans="1:20" s="256" customFormat="1" ht="18" customHeight="1">
      <c r="A174" s="301" t="s">
        <v>893</v>
      </c>
      <c r="B174" s="331" t="s">
        <v>714</v>
      </c>
      <c r="C174" s="332" t="s">
        <v>739</v>
      </c>
      <c r="D174" s="333" t="s">
        <v>104</v>
      </c>
      <c r="E174" s="334">
        <v>32.85415</v>
      </c>
      <c r="F174" s="335"/>
      <c r="G174" s="34"/>
      <c r="H174" s="283"/>
      <c r="I174" s="283"/>
      <c r="J174" s="283"/>
      <c r="K174" s="283"/>
      <c r="L174" s="255"/>
      <c r="M174" s="255"/>
      <c r="N174" s="255"/>
      <c r="O174" s="255"/>
      <c r="P174" s="255"/>
      <c r="Q174" s="255"/>
      <c r="R174" s="255"/>
      <c r="T174" s="257"/>
    </row>
    <row r="175" spans="1:20" s="256" customFormat="1" ht="18" customHeight="1">
      <c r="A175" s="301" t="s">
        <v>894</v>
      </c>
      <c r="B175" s="331" t="s">
        <v>716</v>
      </c>
      <c r="C175" s="332" t="s">
        <v>740</v>
      </c>
      <c r="D175" s="333" t="s">
        <v>104</v>
      </c>
      <c r="E175" s="334">
        <v>38.7408</v>
      </c>
      <c r="F175" s="335"/>
      <c r="G175" s="34"/>
      <c r="H175" s="283"/>
      <c r="I175" s="283"/>
      <c r="J175" s="283"/>
      <c r="K175" s="283"/>
      <c r="L175" s="255"/>
      <c r="M175" s="255"/>
      <c r="N175" s="255"/>
      <c r="O175" s="255"/>
      <c r="P175" s="255"/>
      <c r="Q175" s="255"/>
      <c r="R175" s="255"/>
      <c r="T175" s="257"/>
    </row>
    <row r="176" spans="1:20" s="256" customFormat="1" ht="18" customHeight="1">
      <c r="A176" s="301" t="s">
        <v>895</v>
      </c>
      <c r="B176" s="331" t="s">
        <v>716</v>
      </c>
      <c r="C176" s="332" t="s">
        <v>741</v>
      </c>
      <c r="D176" s="333" t="s">
        <v>104</v>
      </c>
      <c r="E176" s="334">
        <v>18.448</v>
      </c>
      <c r="F176" s="335"/>
      <c r="G176" s="34"/>
      <c r="H176" s="283"/>
      <c r="I176" s="283"/>
      <c r="J176" s="283"/>
      <c r="K176" s="283"/>
      <c r="L176" s="255"/>
      <c r="M176" s="255"/>
      <c r="N176" s="255"/>
      <c r="O176" s="255"/>
      <c r="P176" s="255"/>
      <c r="Q176" s="255"/>
      <c r="R176" s="255"/>
      <c r="T176" s="257"/>
    </row>
    <row r="177" spans="1:20" s="256" customFormat="1" ht="20.25" customHeight="1">
      <c r="A177" s="301" t="s">
        <v>896</v>
      </c>
      <c r="B177" s="331"/>
      <c r="C177" s="332" t="s">
        <v>707</v>
      </c>
      <c r="D177" s="333" t="s">
        <v>104</v>
      </c>
      <c r="E177" s="334">
        <f>453.43*0.15-0.01</f>
        <v>68.0045</v>
      </c>
      <c r="F177" s="335"/>
      <c r="G177" s="34"/>
      <c r="H177" s="283"/>
      <c r="I177" s="283"/>
      <c r="J177" s="283"/>
      <c r="K177" s="283"/>
      <c r="L177" s="255"/>
      <c r="M177" s="255"/>
      <c r="N177" s="255"/>
      <c r="O177" s="255"/>
      <c r="P177" s="255"/>
      <c r="Q177" s="255"/>
      <c r="R177" s="255"/>
      <c r="T177" s="257"/>
    </row>
    <row r="178" spans="1:20" s="256" customFormat="1" ht="19.5" customHeight="1">
      <c r="A178" s="301" t="s">
        <v>229</v>
      </c>
      <c r="B178" s="331"/>
      <c r="C178" s="332" t="s">
        <v>933</v>
      </c>
      <c r="D178" s="333" t="s">
        <v>50</v>
      </c>
      <c r="E178" s="334">
        <v>1</v>
      </c>
      <c r="F178" s="335"/>
      <c r="G178" s="34">
        <f>$E178*F178</f>
        <v>0</v>
      </c>
      <c r="H178" s="283"/>
      <c r="I178" s="283"/>
      <c r="J178" s="283"/>
      <c r="K178" s="283"/>
      <c r="L178" s="255"/>
      <c r="M178" s="255"/>
      <c r="N178" s="255"/>
      <c r="O178" s="255"/>
      <c r="P178" s="255"/>
      <c r="Q178" s="255"/>
      <c r="R178" s="255"/>
      <c r="T178" s="257"/>
    </row>
    <row r="179" spans="1:20" s="256" customFormat="1" ht="18" customHeight="1">
      <c r="A179" s="301" t="s">
        <v>230</v>
      </c>
      <c r="B179" s="331">
        <v>998767101</v>
      </c>
      <c r="C179" s="332" t="s">
        <v>1012</v>
      </c>
      <c r="D179" s="333" t="s">
        <v>23</v>
      </c>
      <c r="E179" s="334">
        <f>I181</f>
        <v>0.52242963</v>
      </c>
      <c r="F179" s="335"/>
      <c r="G179" s="34">
        <f>$E179*F179</f>
        <v>0</v>
      </c>
      <c r="H179" s="283"/>
      <c r="I179" s="283"/>
      <c r="J179" s="283"/>
      <c r="K179" s="283"/>
      <c r="L179" s="255"/>
      <c r="M179" s="255"/>
      <c r="N179" s="255"/>
      <c r="O179" s="255"/>
      <c r="P179" s="255"/>
      <c r="Q179" s="255"/>
      <c r="R179" s="255"/>
      <c r="T179" s="257"/>
    </row>
    <row r="180" spans="1:20" s="99" customFormat="1" ht="13.5" thickBot="1">
      <c r="A180" s="270"/>
      <c r="B180" s="271"/>
      <c r="C180" s="272"/>
      <c r="D180" s="271"/>
      <c r="E180" s="291"/>
      <c r="F180" s="292"/>
      <c r="G180" s="275"/>
      <c r="H180" s="283"/>
      <c r="I180" s="283"/>
      <c r="J180" s="283"/>
      <c r="K180" s="283"/>
      <c r="L180" s="98"/>
      <c r="M180" s="98"/>
      <c r="N180" s="98"/>
      <c r="O180" s="98"/>
      <c r="P180" s="98"/>
      <c r="Q180" s="98"/>
      <c r="R180" s="98"/>
      <c r="T180" s="100"/>
    </row>
    <row r="181" spans="1:20" s="297" customFormat="1" ht="16.5" customHeight="1" thickBot="1">
      <c r="A181" s="293"/>
      <c r="B181" s="294"/>
      <c r="C181" s="239" t="s">
        <v>24</v>
      </c>
      <c r="D181" s="295"/>
      <c r="E181" s="296"/>
      <c r="F181" s="242"/>
      <c r="G181" s="243">
        <f>SUBTOTAL(9,G161:G180)</f>
        <v>0</v>
      </c>
      <c r="H181" s="283"/>
      <c r="I181" s="254">
        <f>SUM(I161:I180)</f>
        <v>0.52242963</v>
      </c>
      <c r="J181" s="283"/>
      <c r="K181" s="283"/>
      <c r="L181" s="98"/>
      <c r="M181" s="98"/>
      <c r="N181" s="98"/>
      <c r="O181" s="98"/>
      <c r="P181" s="98"/>
      <c r="Q181" s="98"/>
      <c r="R181" s="98"/>
      <c r="T181" s="298"/>
    </row>
    <row r="182" spans="1:20" s="99" customFormat="1" ht="13.7" customHeight="1" thickBot="1">
      <c r="A182" s="244"/>
      <c r="B182" s="245"/>
      <c r="C182" s="246"/>
      <c r="D182" s="246"/>
      <c r="E182" s="285"/>
      <c r="F182" s="200"/>
      <c r="G182" s="201"/>
      <c r="H182" s="283"/>
      <c r="I182" s="283"/>
      <c r="J182" s="283"/>
      <c r="K182" s="283"/>
      <c r="L182" s="98"/>
      <c r="M182" s="98"/>
      <c r="N182" s="98"/>
      <c r="O182" s="98"/>
      <c r="P182" s="98"/>
      <c r="Q182" s="98"/>
      <c r="R182" s="98"/>
      <c r="T182" s="100"/>
    </row>
    <row r="183" spans="1:20" s="210" customFormat="1" ht="16.5" customHeight="1" thickBot="1">
      <c r="A183" s="202" t="s">
        <v>134</v>
      </c>
      <c r="B183" s="203"/>
      <c r="C183" s="204" t="s">
        <v>52</v>
      </c>
      <c r="D183" s="205"/>
      <c r="E183" s="206"/>
      <c r="F183" s="207"/>
      <c r="G183" s="208"/>
      <c r="H183" s="192"/>
      <c r="I183" s="192"/>
      <c r="J183" s="192"/>
      <c r="K183" s="192"/>
      <c r="L183" s="209"/>
      <c r="M183" s="209"/>
      <c r="N183" s="209"/>
      <c r="O183" s="209"/>
      <c r="P183" s="209"/>
      <c r="Q183" s="209"/>
      <c r="R183" s="209"/>
      <c r="T183" s="211"/>
    </row>
    <row r="184" spans="1:20" s="99" customFormat="1" ht="12" customHeight="1">
      <c r="A184" s="303"/>
      <c r="B184" s="304"/>
      <c r="C184" s="305"/>
      <c r="D184" s="306"/>
      <c r="E184" s="328"/>
      <c r="F184" s="329"/>
      <c r="G184" s="330"/>
      <c r="H184" s="112"/>
      <c r="I184" s="112"/>
      <c r="J184" s="112"/>
      <c r="K184" s="112"/>
      <c r="L184" s="98"/>
      <c r="M184" s="98"/>
      <c r="N184" s="98"/>
      <c r="O184" s="98"/>
      <c r="P184" s="98"/>
      <c r="Q184" s="98"/>
      <c r="R184" s="98"/>
      <c r="T184" s="100"/>
    </row>
    <row r="185" spans="1:7" s="256" customFormat="1" ht="36">
      <c r="A185" s="301" t="s">
        <v>135</v>
      </c>
      <c r="B185" s="231"/>
      <c r="C185" s="308" t="s">
        <v>1010</v>
      </c>
      <c r="D185" s="347"/>
      <c r="E185" s="327"/>
      <c r="F185" s="169"/>
      <c r="G185" s="165">
        <f>E185*F185</f>
        <v>0</v>
      </c>
    </row>
    <row r="186" spans="1:20" s="99" customFormat="1" ht="12" customHeight="1" thickBot="1">
      <c r="A186" s="180"/>
      <c r="B186" s="323"/>
      <c r="C186" s="234"/>
      <c r="D186" s="235"/>
      <c r="E186" s="324"/>
      <c r="F186" s="184"/>
      <c r="G186" s="185"/>
      <c r="H186" s="112"/>
      <c r="I186" s="112"/>
      <c r="J186" s="112"/>
      <c r="K186" s="112"/>
      <c r="L186" s="98"/>
      <c r="M186" s="98"/>
      <c r="N186" s="98"/>
      <c r="O186" s="98"/>
      <c r="P186" s="98"/>
      <c r="Q186" s="98"/>
      <c r="R186" s="98"/>
      <c r="T186" s="100"/>
    </row>
    <row r="187" spans="1:20" s="99" customFormat="1" ht="16.5" customHeight="1" thickBot="1">
      <c r="A187" s="318"/>
      <c r="B187" s="319"/>
      <c r="C187" s="239" t="s">
        <v>24</v>
      </c>
      <c r="D187" s="240"/>
      <c r="E187" s="320"/>
      <c r="F187" s="242"/>
      <c r="G187" s="89">
        <f>SUBTOTAL(9,G184:G186)</f>
        <v>0</v>
      </c>
      <c r="H187" s="112"/>
      <c r="I187" s="112"/>
      <c r="J187" s="112"/>
      <c r="K187" s="112"/>
      <c r="L187" s="98"/>
      <c r="M187" s="98"/>
      <c r="N187" s="98"/>
      <c r="O187" s="98"/>
      <c r="P187" s="98"/>
      <c r="Q187" s="98"/>
      <c r="R187" s="98"/>
      <c r="T187" s="100"/>
    </row>
    <row r="188" spans="1:20" s="99" customFormat="1" ht="13.7" customHeight="1" thickBot="1">
      <c r="A188" s="321"/>
      <c r="B188" s="279"/>
      <c r="C188" s="246"/>
      <c r="D188" s="246"/>
      <c r="E188" s="322"/>
      <c r="F188" s="200"/>
      <c r="G188" s="201"/>
      <c r="H188" s="112"/>
      <c r="I188" s="112"/>
      <c r="J188" s="112"/>
      <c r="K188" s="112"/>
      <c r="L188" s="98"/>
      <c r="M188" s="98"/>
      <c r="N188" s="98"/>
      <c r="O188" s="98"/>
      <c r="P188" s="98"/>
      <c r="Q188" s="98"/>
      <c r="R188" s="98"/>
      <c r="T188" s="100"/>
    </row>
    <row r="189" spans="1:20" s="355" customFormat="1" ht="30.75" customHeight="1" thickBot="1">
      <c r="A189" s="186"/>
      <c r="B189" s="348"/>
      <c r="C189" s="349" t="s">
        <v>53</v>
      </c>
      <c r="D189" s="349"/>
      <c r="E189" s="350"/>
      <c r="F189" s="351"/>
      <c r="G189" s="352">
        <f>SUBTOTAL(9,G23:G187)</f>
        <v>0</v>
      </c>
      <c r="H189" s="353"/>
      <c r="I189" s="353"/>
      <c r="J189" s="353"/>
      <c r="K189" s="353"/>
      <c r="L189" s="354"/>
      <c r="M189" s="354"/>
      <c r="N189" s="354"/>
      <c r="O189" s="354"/>
      <c r="P189" s="354"/>
      <c r="Q189" s="354"/>
      <c r="R189" s="354"/>
      <c r="T189" s="356"/>
    </row>
    <row r="190" ht="12.75">
      <c r="E190" s="359"/>
    </row>
    <row r="191" ht="12.75">
      <c r="E191" s="359"/>
    </row>
    <row r="192" ht="12.75">
      <c r="E192" s="359"/>
    </row>
    <row r="193" ht="12.75">
      <c r="E193" s="359"/>
    </row>
    <row r="194" ht="12.75">
      <c r="E194" s="359"/>
    </row>
    <row r="195" ht="12.75">
      <c r="E195" s="359"/>
    </row>
    <row r="196" ht="12.75">
      <c r="E196" s="359"/>
    </row>
    <row r="197" spans="1:59" s="360" customFormat="1" ht="12.75">
      <c r="A197" s="357"/>
      <c r="B197" s="358"/>
      <c r="C197" s="104"/>
      <c r="D197" s="104"/>
      <c r="E197" s="359"/>
      <c r="G197" s="105"/>
      <c r="H197" s="119"/>
      <c r="I197" s="119"/>
      <c r="J197" s="119"/>
      <c r="K197" s="119"/>
      <c r="L197" s="98"/>
      <c r="M197" s="98"/>
      <c r="N197" s="98"/>
      <c r="O197" s="98"/>
      <c r="P197" s="98"/>
      <c r="Q197" s="98"/>
      <c r="R197" s="98"/>
      <c r="S197" s="104"/>
      <c r="T197" s="105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</row>
    <row r="198" spans="1:59" s="360" customFormat="1" ht="12.75">
      <c r="A198" s="357"/>
      <c r="B198" s="358"/>
      <c r="C198" s="104"/>
      <c r="D198" s="104"/>
      <c r="E198" s="359"/>
      <c r="G198" s="105"/>
      <c r="H198" s="119"/>
      <c r="I198" s="119"/>
      <c r="J198" s="119"/>
      <c r="K198" s="119"/>
      <c r="L198" s="98"/>
      <c r="M198" s="98"/>
      <c r="N198" s="98"/>
      <c r="O198" s="98"/>
      <c r="P198" s="98"/>
      <c r="Q198" s="98"/>
      <c r="R198" s="98"/>
      <c r="S198" s="104"/>
      <c r="T198" s="105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</row>
    <row r="199" spans="1:59" s="360" customFormat="1" ht="12.75">
      <c r="A199" s="357"/>
      <c r="B199" s="358"/>
      <c r="C199" s="104"/>
      <c r="D199" s="104"/>
      <c r="E199" s="359"/>
      <c r="G199" s="105"/>
      <c r="H199" s="119"/>
      <c r="I199" s="119"/>
      <c r="J199" s="119"/>
      <c r="K199" s="119"/>
      <c r="L199" s="98"/>
      <c r="M199" s="98"/>
      <c r="N199" s="98"/>
      <c r="O199" s="98"/>
      <c r="P199" s="98"/>
      <c r="Q199" s="98"/>
      <c r="R199" s="98"/>
      <c r="S199" s="104"/>
      <c r="T199" s="105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</row>
    <row r="200" spans="1:59" s="360" customFormat="1" ht="12.75">
      <c r="A200" s="357"/>
      <c r="B200" s="358"/>
      <c r="C200" s="104"/>
      <c r="D200" s="104"/>
      <c r="E200" s="359"/>
      <c r="G200" s="105"/>
      <c r="H200" s="119"/>
      <c r="I200" s="119"/>
      <c r="J200" s="119"/>
      <c r="K200" s="119"/>
      <c r="L200" s="98"/>
      <c r="M200" s="98"/>
      <c r="N200" s="98"/>
      <c r="O200" s="98"/>
      <c r="P200" s="98"/>
      <c r="Q200" s="98"/>
      <c r="R200" s="98"/>
      <c r="S200" s="104"/>
      <c r="T200" s="105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</row>
    <row r="201" spans="1:59" s="360" customFormat="1" ht="12.75">
      <c r="A201" s="357"/>
      <c r="B201" s="358"/>
      <c r="C201" s="104"/>
      <c r="D201" s="104"/>
      <c r="E201" s="359"/>
      <c r="G201" s="105"/>
      <c r="H201" s="119"/>
      <c r="I201" s="119"/>
      <c r="J201" s="119"/>
      <c r="K201" s="119"/>
      <c r="L201" s="98"/>
      <c r="M201" s="98"/>
      <c r="N201" s="98"/>
      <c r="O201" s="98"/>
      <c r="P201" s="98"/>
      <c r="Q201" s="98"/>
      <c r="R201" s="98"/>
      <c r="S201" s="104"/>
      <c r="T201" s="105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</row>
    <row r="202" spans="1:59" s="360" customFormat="1" ht="12.75">
      <c r="A202" s="357"/>
      <c r="B202" s="358"/>
      <c r="C202" s="104"/>
      <c r="D202" s="104"/>
      <c r="E202" s="359"/>
      <c r="G202" s="105"/>
      <c r="H202" s="119"/>
      <c r="I202" s="119"/>
      <c r="J202" s="119"/>
      <c r="K202" s="119"/>
      <c r="L202" s="98"/>
      <c r="M202" s="98"/>
      <c r="N202" s="98"/>
      <c r="O202" s="98"/>
      <c r="P202" s="98"/>
      <c r="Q202" s="98"/>
      <c r="R202" s="98"/>
      <c r="S202" s="104"/>
      <c r="T202" s="105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</row>
    <row r="203" spans="1:59" s="360" customFormat="1" ht="12.75">
      <c r="A203" s="357"/>
      <c r="B203" s="358"/>
      <c r="C203" s="104"/>
      <c r="D203" s="104"/>
      <c r="E203" s="359"/>
      <c r="G203" s="105"/>
      <c r="H203" s="119"/>
      <c r="I203" s="119"/>
      <c r="J203" s="119"/>
      <c r="K203" s="119"/>
      <c r="L203" s="98"/>
      <c r="M203" s="98"/>
      <c r="N203" s="98"/>
      <c r="O203" s="98"/>
      <c r="P203" s="98"/>
      <c r="Q203" s="98"/>
      <c r="R203" s="98"/>
      <c r="S203" s="104"/>
      <c r="T203" s="105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4"/>
      <c r="BE203" s="104"/>
      <c r="BF203" s="104"/>
      <c r="BG203" s="104"/>
    </row>
    <row r="204" spans="1:59" s="360" customFormat="1" ht="12.75">
      <c r="A204" s="357"/>
      <c r="B204" s="358"/>
      <c r="C204" s="104"/>
      <c r="D204" s="104"/>
      <c r="E204" s="359"/>
      <c r="G204" s="105"/>
      <c r="H204" s="119"/>
      <c r="I204" s="119"/>
      <c r="J204" s="119"/>
      <c r="K204" s="119"/>
      <c r="L204" s="98"/>
      <c r="M204" s="98"/>
      <c r="N204" s="98"/>
      <c r="O204" s="98"/>
      <c r="P204" s="98"/>
      <c r="Q204" s="98"/>
      <c r="R204" s="98"/>
      <c r="S204" s="104"/>
      <c r="T204" s="105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</row>
    <row r="205" spans="1:59" s="360" customFormat="1" ht="12.75">
      <c r="A205" s="357"/>
      <c r="B205" s="358"/>
      <c r="C205" s="104"/>
      <c r="D205" s="104"/>
      <c r="E205" s="359"/>
      <c r="G205" s="105"/>
      <c r="H205" s="119"/>
      <c r="I205" s="119"/>
      <c r="J205" s="119"/>
      <c r="K205" s="119"/>
      <c r="L205" s="98"/>
      <c r="M205" s="98"/>
      <c r="N205" s="98"/>
      <c r="O205" s="98"/>
      <c r="P205" s="98"/>
      <c r="Q205" s="98"/>
      <c r="R205" s="98"/>
      <c r="S205" s="104"/>
      <c r="T205" s="105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</row>
    <row r="206" spans="1:59" s="360" customFormat="1" ht="12.75">
      <c r="A206" s="357"/>
      <c r="B206" s="358"/>
      <c r="C206" s="104"/>
      <c r="D206" s="104"/>
      <c r="E206" s="359"/>
      <c r="G206" s="105"/>
      <c r="H206" s="119"/>
      <c r="I206" s="119"/>
      <c r="J206" s="119"/>
      <c r="K206" s="119"/>
      <c r="L206" s="98"/>
      <c r="M206" s="98"/>
      <c r="N206" s="98"/>
      <c r="O206" s="98"/>
      <c r="P206" s="98"/>
      <c r="Q206" s="98"/>
      <c r="R206" s="98"/>
      <c r="S206" s="104"/>
      <c r="T206" s="105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</row>
    <row r="207" spans="1:59" s="360" customFormat="1" ht="12.75">
      <c r="A207" s="357"/>
      <c r="B207" s="358"/>
      <c r="C207" s="104"/>
      <c r="D207" s="104"/>
      <c r="E207" s="359"/>
      <c r="G207" s="105"/>
      <c r="H207" s="119"/>
      <c r="I207" s="119"/>
      <c r="J207" s="119"/>
      <c r="K207" s="119"/>
      <c r="L207" s="98"/>
      <c r="M207" s="98"/>
      <c r="N207" s="98"/>
      <c r="O207" s="98"/>
      <c r="P207" s="98"/>
      <c r="Q207" s="98"/>
      <c r="R207" s="98"/>
      <c r="S207" s="104"/>
      <c r="T207" s="105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</row>
    <row r="208" spans="1:59" s="360" customFormat="1" ht="12.75">
      <c r="A208" s="357"/>
      <c r="B208" s="358"/>
      <c r="C208" s="104"/>
      <c r="D208" s="104"/>
      <c r="E208" s="359"/>
      <c r="G208" s="105"/>
      <c r="H208" s="119"/>
      <c r="I208" s="119"/>
      <c r="J208" s="119"/>
      <c r="K208" s="119"/>
      <c r="L208" s="98"/>
      <c r="M208" s="98"/>
      <c r="N208" s="98"/>
      <c r="O208" s="98"/>
      <c r="P208" s="98"/>
      <c r="Q208" s="98"/>
      <c r="R208" s="98"/>
      <c r="S208" s="104"/>
      <c r="T208" s="105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</row>
    <row r="209" spans="1:59" s="360" customFormat="1" ht="12.75">
      <c r="A209" s="357"/>
      <c r="B209" s="358"/>
      <c r="C209" s="104"/>
      <c r="D209" s="104"/>
      <c r="E209" s="359"/>
      <c r="G209" s="105"/>
      <c r="H209" s="119"/>
      <c r="I209" s="119"/>
      <c r="J209" s="119"/>
      <c r="K209" s="119"/>
      <c r="L209" s="98"/>
      <c r="M209" s="98"/>
      <c r="N209" s="98"/>
      <c r="O209" s="98"/>
      <c r="P209" s="98"/>
      <c r="Q209" s="98"/>
      <c r="R209" s="98"/>
      <c r="S209" s="104"/>
      <c r="T209" s="105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</row>
    <row r="210" spans="1:59" s="360" customFormat="1" ht="12.75">
      <c r="A210" s="357"/>
      <c r="B210" s="358"/>
      <c r="C210" s="104"/>
      <c r="D210" s="104"/>
      <c r="E210" s="359"/>
      <c r="G210" s="105"/>
      <c r="H210" s="119"/>
      <c r="I210" s="119"/>
      <c r="J210" s="119"/>
      <c r="K210" s="119"/>
      <c r="L210" s="98"/>
      <c r="M210" s="98"/>
      <c r="N210" s="98"/>
      <c r="O210" s="98"/>
      <c r="P210" s="98"/>
      <c r="Q210" s="98"/>
      <c r="R210" s="98"/>
      <c r="S210" s="104"/>
      <c r="T210" s="105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</row>
    <row r="211" spans="1:59" s="360" customFormat="1" ht="12.75">
      <c r="A211" s="357"/>
      <c r="B211" s="358"/>
      <c r="C211" s="104"/>
      <c r="D211" s="104"/>
      <c r="E211" s="359"/>
      <c r="G211" s="105"/>
      <c r="H211" s="119"/>
      <c r="I211" s="119"/>
      <c r="J211" s="119"/>
      <c r="K211" s="119"/>
      <c r="L211" s="98"/>
      <c r="M211" s="98"/>
      <c r="N211" s="98"/>
      <c r="O211" s="98"/>
      <c r="P211" s="98"/>
      <c r="Q211" s="98"/>
      <c r="R211" s="98"/>
      <c r="S211" s="104"/>
      <c r="T211" s="105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</row>
    <row r="212" spans="1:59" s="360" customFormat="1" ht="12.75">
      <c r="A212" s="357"/>
      <c r="B212" s="358"/>
      <c r="C212" s="104"/>
      <c r="D212" s="104"/>
      <c r="E212" s="359"/>
      <c r="G212" s="105"/>
      <c r="H212" s="119"/>
      <c r="I212" s="119"/>
      <c r="J212" s="119"/>
      <c r="K212" s="119"/>
      <c r="L212" s="98"/>
      <c r="M212" s="98"/>
      <c r="N212" s="98"/>
      <c r="O212" s="98"/>
      <c r="P212" s="98"/>
      <c r="Q212" s="98"/>
      <c r="R212" s="98"/>
      <c r="S212" s="104"/>
      <c r="T212" s="105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04"/>
      <c r="BD212" s="104"/>
      <c r="BE212" s="104"/>
      <c r="BF212" s="104"/>
      <c r="BG212" s="104"/>
    </row>
    <row r="213" spans="1:59" s="360" customFormat="1" ht="12.75">
      <c r="A213" s="357"/>
      <c r="B213" s="358"/>
      <c r="C213" s="104"/>
      <c r="D213" s="104"/>
      <c r="E213" s="359"/>
      <c r="G213" s="105"/>
      <c r="H213" s="119"/>
      <c r="I213" s="119"/>
      <c r="J213" s="119"/>
      <c r="K213" s="119"/>
      <c r="L213" s="98"/>
      <c r="M213" s="98"/>
      <c r="N213" s="98"/>
      <c r="O213" s="98"/>
      <c r="P213" s="98"/>
      <c r="Q213" s="98"/>
      <c r="R213" s="98"/>
      <c r="S213" s="104"/>
      <c r="T213" s="105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</row>
    <row r="214" spans="1:59" s="360" customFormat="1" ht="12.75">
      <c r="A214" s="357"/>
      <c r="B214" s="358"/>
      <c r="C214" s="104"/>
      <c r="D214" s="104"/>
      <c r="E214" s="359"/>
      <c r="G214" s="105"/>
      <c r="H214" s="119"/>
      <c r="I214" s="119"/>
      <c r="J214" s="119"/>
      <c r="K214" s="119"/>
      <c r="L214" s="98"/>
      <c r="M214" s="98"/>
      <c r="N214" s="98"/>
      <c r="O214" s="98"/>
      <c r="P214" s="98"/>
      <c r="Q214" s="98"/>
      <c r="R214" s="98"/>
      <c r="S214" s="104"/>
      <c r="T214" s="105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</row>
    <row r="215" spans="1:59" s="360" customFormat="1" ht="12.75">
      <c r="A215" s="357"/>
      <c r="B215" s="358"/>
      <c r="C215" s="104"/>
      <c r="D215" s="104"/>
      <c r="E215" s="359"/>
      <c r="G215" s="105"/>
      <c r="H215" s="119"/>
      <c r="I215" s="119"/>
      <c r="J215" s="119"/>
      <c r="K215" s="119"/>
      <c r="L215" s="98"/>
      <c r="M215" s="98"/>
      <c r="N215" s="98"/>
      <c r="O215" s="98"/>
      <c r="P215" s="98"/>
      <c r="Q215" s="98"/>
      <c r="R215" s="98"/>
      <c r="S215" s="104"/>
      <c r="T215" s="105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</row>
    <row r="216" spans="1:59" s="360" customFormat="1" ht="12.75">
      <c r="A216" s="357"/>
      <c r="B216" s="358"/>
      <c r="C216" s="104"/>
      <c r="D216" s="104"/>
      <c r="E216" s="359"/>
      <c r="G216" s="105"/>
      <c r="H216" s="119"/>
      <c r="I216" s="119"/>
      <c r="J216" s="119"/>
      <c r="K216" s="119"/>
      <c r="L216" s="98"/>
      <c r="M216" s="98"/>
      <c r="N216" s="98"/>
      <c r="O216" s="98"/>
      <c r="P216" s="98"/>
      <c r="Q216" s="98"/>
      <c r="R216" s="98"/>
      <c r="S216" s="104"/>
      <c r="T216" s="105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4"/>
      <c r="BE216" s="104"/>
      <c r="BF216" s="104"/>
      <c r="BG216" s="104"/>
    </row>
    <row r="217" spans="1:59" s="360" customFormat="1" ht="12.75">
      <c r="A217" s="357"/>
      <c r="B217" s="358"/>
      <c r="C217" s="104"/>
      <c r="D217" s="104"/>
      <c r="E217" s="359"/>
      <c r="G217" s="105"/>
      <c r="H217" s="119"/>
      <c r="I217" s="119"/>
      <c r="J217" s="119"/>
      <c r="K217" s="119"/>
      <c r="L217" s="98"/>
      <c r="M217" s="98"/>
      <c r="N217" s="98"/>
      <c r="O217" s="98"/>
      <c r="P217" s="98"/>
      <c r="Q217" s="98"/>
      <c r="R217" s="98"/>
      <c r="S217" s="104"/>
      <c r="T217" s="105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4"/>
      <c r="BD217" s="104"/>
      <c r="BE217" s="104"/>
      <c r="BF217" s="104"/>
      <c r="BG217" s="104"/>
    </row>
    <row r="218" spans="1:59" s="360" customFormat="1" ht="12.75">
      <c r="A218" s="357"/>
      <c r="B218" s="358"/>
      <c r="C218" s="104"/>
      <c r="D218" s="104"/>
      <c r="E218" s="359"/>
      <c r="G218" s="105"/>
      <c r="H218" s="119"/>
      <c r="I218" s="119"/>
      <c r="J218" s="119"/>
      <c r="K218" s="119"/>
      <c r="L218" s="98"/>
      <c r="M218" s="98"/>
      <c r="N218" s="98"/>
      <c r="O218" s="98"/>
      <c r="P218" s="98"/>
      <c r="Q218" s="98"/>
      <c r="R218" s="98"/>
      <c r="S218" s="104"/>
      <c r="T218" s="105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4"/>
      <c r="BA218" s="104"/>
      <c r="BB218" s="104"/>
      <c r="BC218" s="104"/>
      <c r="BD218" s="104"/>
      <c r="BE218" s="104"/>
      <c r="BF218" s="104"/>
      <c r="BG218" s="104"/>
    </row>
    <row r="219" spans="1:59" s="360" customFormat="1" ht="12.75">
      <c r="A219" s="357"/>
      <c r="B219" s="358"/>
      <c r="C219" s="104"/>
      <c r="D219" s="104"/>
      <c r="E219" s="359"/>
      <c r="G219" s="105"/>
      <c r="H219" s="119"/>
      <c r="I219" s="119"/>
      <c r="J219" s="119"/>
      <c r="K219" s="119"/>
      <c r="L219" s="98"/>
      <c r="M219" s="98"/>
      <c r="N219" s="98"/>
      <c r="O219" s="98"/>
      <c r="P219" s="98"/>
      <c r="Q219" s="98"/>
      <c r="R219" s="98"/>
      <c r="S219" s="104"/>
      <c r="T219" s="105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 s="104"/>
      <c r="BE219" s="104"/>
      <c r="BF219" s="104"/>
      <c r="BG219" s="104"/>
    </row>
    <row r="220" spans="1:59" s="360" customFormat="1" ht="12.75">
      <c r="A220" s="357"/>
      <c r="B220" s="358"/>
      <c r="C220" s="104"/>
      <c r="D220" s="104"/>
      <c r="E220" s="359"/>
      <c r="G220" s="105"/>
      <c r="H220" s="119"/>
      <c r="I220" s="119"/>
      <c r="J220" s="119"/>
      <c r="K220" s="119"/>
      <c r="L220" s="98"/>
      <c r="M220" s="98"/>
      <c r="N220" s="98"/>
      <c r="O220" s="98"/>
      <c r="P220" s="98"/>
      <c r="Q220" s="98"/>
      <c r="R220" s="98"/>
      <c r="S220" s="104"/>
      <c r="T220" s="105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4"/>
      <c r="BB220" s="104"/>
      <c r="BC220" s="104"/>
      <c r="BD220" s="104"/>
      <c r="BE220" s="104"/>
      <c r="BF220" s="104"/>
      <c r="BG220" s="104"/>
    </row>
    <row r="221" spans="1:59" s="360" customFormat="1" ht="12.75">
      <c r="A221" s="357"/>
      <c r="B221" s="358"/>
      <c r="C221" s="104"/>
      <c r="D221" s="104"/>
      <c r="E221" s="359"/>
      <c r="G221" s="105"/>
      <c r="H221" s="119"/>
      <c r="I221" s="119"/>
      <c r="J221" s="119"/>
      <c r="K221" s="119"/>
      <c r="L221" s="98"/>
      <c r="M221" s="98"/>
      <c r="N221" s="98"/>
      <c r="O221" s="98"/>
      <c r="P221" s="98"/>
      <c r="Q221" s="98"/>
      <c r="R221" s="98"/>
      <c r="S221" s="104"/>
      <c r="T221" s="105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</row>
    <row r="222" spans="1:59" s="360" customFormat="1" ht="12.75">
      <c r="A222" s="357"/>
      <c r="B222" s="358"/>
      <c r="C222" s="104"/>
      <c r="D222" s="104"/>
      <c r="E222" s="359"/>
      <c r="G222" s="105"/>
      <c r="H222" s="119"/>
      <c r="I222" s="119"/>
      <c r="J222" s="119"/>
      <c r="K222" s="119"/>
      <c r="L222" s="98"/>
      <c r="M222" s="98"/>
      <c r="N222" s="98"/>
      <c r="O222" s="98"/>
      <c r="P222" s="98"/>
      <c r="Q222" s="98"/>
      <c r="R222" s="98"/>
      <c r="S222" s="104"/>
      <c r="T222" s="105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</row>
    <row r="223" spans="1:59" s="360" customFormat="1" ht="12.75">
      <c r="A223" s="357"/>
      <c r="B223" s="358"/>
      <c r="C223" s="104"/>
      <c r="D223" s="104"/>
      <c r="E223" s="359"/>
      <c r="G223" s="105"/>
      <c r="H223" s="119"/>
      <c r="I223" s="119"/>
      <c r="J223" s="119"/>
      <c r="K223" s="119"/>
      <c r="L223" s="98"/>
      <c r="M223" s="98"/>
      <c r="N223" s="98"/>
      <c r="O223" s="98"/>
      <c r="P223" s="98"/>
      <c r="Q223" s="98"/>
      <c r="R223" s="98"/>
      <c r="S223" s="104"/>
      <c r="T223" s="105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</row>
    <row r="224" spans="1:59" s="360" customFormat="1" ht="12.75">
      <c r="A224" s="357"/>
      <c r="B224" s="358"/>
      <c r="C224" s="104"/>
      <c r="D224" s="104"/>
      <c r="E224" s="359"/>
      <c r="G224" s="105"/>
      <c r="H224" s="119"/>
      <c r="I224" s="119"/>
      <c r="J224" s="119"/>
      <c r="K224" s="119"/>
      <c r="L224" s="98"/>
      <c r="M224" s="98"/>
      <c r="N224" s="98"/>
      <c r="O224" s="98"/>
      <c r="P224" s="98"/>
      <c r="Q224" s="98"/>
      <c r="R224" s="98"/>
      <c r="S224" s="104"/>
      <c r="T224" s="105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 s="104"/>
      <c r="BE224" s="104"/>
      <c r="BF224" s="104"/>
      <c r="BG224" s="104"/>
    </row>
    <row r="225" spans="1:59" s="360" customFormat="1" ht="12.75">
      <c r="A225" s="357"/>
      <c r="B225" s="358"/>
      <c r="C225" s="104"/>
      <c r="D225" s="104"/>
      <c r="E225" s="359"/>
      <c r="G225" s="105"/>
      <c r="H225" s="119"/>
      <c r="I225" s="119"/>
      <c r="J225" s="119"/>
      <c r="K225" s="119"/>
      <c r="L225" s="98"/>
      <c r="M225" s="98"/>
      <c r="N225" s="98"/>
      <c r="O225" s="98"/>
      <c r="P225" s="98"/>
      <c r="Q225" s="98"/>
      <c r="R225" s="98"/>
      <c r="S225" s="104"/>
      <c r="T225" s="105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 s="104"/>
      <c r="BE225" s="104"/>
      <c r="BF225" s="104"/>
      <c r="BG225" s="104"/>
    </row>
    <row r="226" spans="1:59" s="360" customFormat="1" ht="12.75">
      <c r="A226" s="357"/>
      <c r="B226" s="358"/>
      <c r="C226" s="104"/>
      <c r="D226" s="104"/>
      <c r="E226" s="359"/>
      <c r="G226" s="105"/>
      <c r="H226" s="119"/>
      <c r="I226" s="119"/>
      <c r="J226" s="119"/>
      <c r="K226" s="119"/>
      <c r="L226" s="98"/>
      <c r="M226" s="98"/>
      <c r="N226" s="98"/>
      <c r="O226" s="98"/>
      <c r="P226" s="98"/>
      <c r="Q226" s="98"/>
      <c r="R226" s="98"/>
      <c r="S226" s="104"/>
      <c r="T226" s="105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</row>
    <row r="227" spans="1:59" s="360" customFormat="1" ht="12.75">
      <c r="A227" s="357"/>
      <c r="B227" s="358"/>
      <c r="C227" s="104"/>
      <c r="D227" s="104"/>
      <c r="E227" s="359"/>
      <c r="G227" s="105"/>
      <c r="H227" s="119"/>
      <c r="I227" s="119"/>
      <c r="J227" s="119"/>
      <c r="K227" s="119"/>
      <c r="L227" s="98"/>
      <c r="M227" s="98"/>
      <c r="N227" s="98"/>
      <c r="O227" s="98"/>
      <c r="P227" s="98"/>
      <c r="Q227" s="98"/>
      <c r="R227" s="98"/>
      <c r="S227" s="104"/>
      <c r="T227" s="105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</row>
    <row r="228" spans="1:59" s="360" customFormat="1" ht="12.75">
      <c r="A228" s="357"/>
      <c r="B228" s="358"/>
      <c r="C228" s="104"/>
      <c r="D228" s="104"/>
      <c r="E228" s="359"/>
      <c r="G228" s="105"/>
      <c r="H228" s="119"/>
      <c r="I228" s="119"/>
      <c r="J228" s="119"/>
      <c r="K228" s="119"/>
      <c r="L228" s="98"/>
      <c r="M228" s="98"/>
      <c r="N228" s="98"/>
      <c r="O228" s="98"/>
      <c r="P228" s="98"/>
      <c r="Q228" s="98"/>
      <c r="R228" s="98"/>
      <c r="S228" s="104"/>
      <c r="T228" s="105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104"/>
      <c r="BD228" s="104"/>
      <c r="BE228" s="104"/>
      <c r="BF228" s="104"/>
      <c r="BG228" s="104"/>
    </row>
    <row r="229" spans="1:59" s="360" customFormat="1" ht="12.75">
      <c r="A229" s="357"/>
      <c r="B229" s="358"/>
      <c r="C229" s="104"/>
      <c r="D229" s="104"/>
      <c r="E229" s="359"/>
      <c r="G229" s="105"/>
      <c r="H229" s="119"/>
      <c r="I229" s="119"/>
      <c r="J229" s="119"/>
      <c r="K229" s="119"/>
      <c r="L229" s="98"/>
      <c r="M229" s="98"/>
      <c r="N229" s="98"/>
      <c r="O229" s="98"/>
      <c r="P229" s="98"/>
      <c r="Q229" s="98"/>
      <c r="R229" s="98"/>
      <c r="S229" s="104"/>
      <c r="T229" s="105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 s="104"/>
      <c r="BE229" s="104"/>
      <c r="BF229" s="104"/>
      <c r="BG229" s="104"/>
    </row>
    <row r="230" spans="1:59" s="360" customFormat="1" ht="12.75">
      <c r="A230" s="357"/>
      <c r="B230" s="358"/>
      <c r="C230" s="104"/>
      <c r="D230" s="104"/>
      <c r="E230" s="359"/>
      <c r="G230" s="105"/>
      <c r="H230" s="119"/>
      <c r="I230" s="119"/>
      <c r="J230" s="119"/>
      <c r="K230" s="119"/>
      <c r="L230" s="98"/>
      <c r="M230" s="98"/>
      <c r="N230" s="98"/>
      <c r="O230" s="98"/>
      <c r="P230" s="98"/>
      <c r="Q230" s="98"/>
      <c r="R230" s="98"/>
      <c r="S230" s="104"/>
      <c r="T230" s="105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 s="104"/>
      <c r="BE230" s="104"/>
      <c r="BF230" s="104"/>
      <c r="BG230" s="104"/>
    </row>
    <row r="231" spans="1:59" s="360" customFormat="1" ht="12.75">
      <c r="A231" s="357"/>
      <c r="B231" s="358"/>
      <c r="C231" s="104"/>
      <c r="D231" s="104"/>
      <c r="E231" s="359"/>
      <c r="G231" s="105"/>
      <c r="H231" s="119"/>
      <c r="I231" s="119"/>
      <c r="J231" s="119"/>
      <c r="K231" s="119"/>
      <c r="L231" s="98"/>
      <c r="M231" s="98"/>
      <c r="N231" s="98"/>
      <c r="O231" s="98"/>
      <c r="P231" s="98"/>
      <c r="Q231" s="98"/>
      <c r="R231" s="98"/>
      <c r="S231" s="104"/>
      <c r="T231" s="105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</row>
    <row r="232" spans="1:59" s="360" customFormat="1" ht="12.75">
      <c r="A232" s="357"/>
      <c r="B232" s="358"/>
      <c r="C232" s="104"/>
      <c r="D232" s="104"/>
      <c r="E232" s="359"/>
      <c r="G232" s="105"/>
      <c r="H232" s="119"/>
      <c r="I232" s="119"/>
      <c r="J232" s="119"/>
      <c r="K232" s="119"/>
      <c r="L232" s="98"/>
      <c r="M232" s="98"/>
      <c r="N232" s="98"/>
      <c r="O232" s="98"/>
      <c r="P232" s="98"/>
      <c r="Q232" s="98"/>
      <c r="R232" s="98"/>
      <c r="S232" s="104"/>
      <c r="T232" s="105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</row>
    <row r="233" spans="1:59" s="360" customFormat="1" ht="12.75">
      <c r="A233" s="357"/>
      <c r="B233" s="358"/>
      <c r="C233" s="104"/>
      <c r="D233" s="104"/>
      <c r="E233" s="359"/>
      <c r="G233" s="105"/>
      <c r="H233" s="119"/>
      <c r="I233" s="119"/>
      <c r="J233" s="119"/>
      <c r="K233" s="119"/>
      <c r="L233" s="98"/>
      <c r="M233" s="98"/>
      <c r="N233" s="98"/>
      <c r="O233" s="98"/>
      <c r="P233" s="98"/>
      <c r="Q233" s="98"/>
      <c r="R233" s="98"/>
      <c r="S233" s="104"/>
      <c r="T233" s="105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</row>
    <row r="234" spans="1:59" s="360" customFormat="1" ht="12.75">
      <c r="A234" s="357"/>
      <c r="B234" s="358"/>
      <c r="C234" s="104"/>
      <c r="D234" s="104"/>
      <c r="E234" s="359"/>
      <c r="G234" s="105"/>
      <c r="H234" s="119"/>
      <c r="I234" s="119"/>
      <c r="J234" s="119"/>
      <c r="K234" s="119"/>
      <c r="L234" s="98"/>
      <c r="M234" s="98"/>
      <c r="N234" s="98"/>
      <c r="O234" s="98"/>
      <c r="P234" s="98"/>
      <c r="Q234" s="98"/>
      <c r="R234" s="98"/>
      <c r="S234" s="104"/>
      <c r="T234" s="105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</row>
    <row r="235" spans="1:59" s="360" customFormat="1" ht="12.75">
      <c r="A235" s="357"/>
      <c r="B235" s="358"/>
      <c r="C235" s="104"/>
      <c r="D235" s="104"/>
      <c r="E235" s="359"/>
      <c r="G235" s="105"/>
      <c r="H235" s="119"/>
      <c r="I235" s="119"/>
      <c r="J235" s="119"/>
      <c r="K235" s="119"/>
      <c r="L235" s="98"/>
      <c r="M235" s="98"/>
      <c r="N235" s="98"/>
      <c r="O235" s="98"/>
      <c r="P235" s="98"/>
      <c r="Q235" s="98"/>
      <c r="R235" s="98"/>
      <c r="S235" s="104"/>
      <c r="T235" s="105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</row>
    <row r="236" spans="1:59" s="360" customFormat="1" ht="12.75">
      <c r="A236" s="357"/>
      <c r="B236" s="358"/>
      <c r="C236" s="104"/>
      <c r="D236" s="104"/>
      <c r="E236" s="359"/>
      <c r="G236" s="105"/>
      <c r="H236" s="119"/>
      <c r="I236" s="119"/>
      <c r="J236" s="119"/>
      <c r="K236" s="119"/>
      <c r="L236" s="98"/>
      <c r="M236" s="98"/>
      <c r="N236" s="98"/>
      <c r="O236" s="98"/>
      <c r="P236" s="98"/>
      <c r="Q236" s="98"/>
      <c r="R236" s="98"/>
      <c r="S236" s="104"/>
      <c r="T236" s="105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4"/>
      <c r="BE236" s="104"/>
      <c r="BF236" s="104"/>
      <c r="BG236" s="104"/>
    </row>
    <row r="237" spans="1:59" s="360" customFormat="1" ht="12.75">
      <c r="A237" s="357"/>
      <c r="B237" s="358"/>
      <c r="C237" s="104"/>
      <c r="D237" s="104"/>
      <c r="E237" s="359"/>
      <c r="G237" s="105"/>
      <c r="H237" s="119"/>
      <c r="I237" s="119"/>
      <c r="J237" s="119"/>
      <c r="K237" s="119"/>
      <c r="L237" s="98"/>
      <c r="M237" s="98"/>
      <c r="N237" s="98"/>
      <c r="O237" s="98"/>
      <c r="P237" s="98"/>
      <c r="Q237" s="98"/>
      <c r="R237" s="98"/>
      <c r="S237" s="104"/>
      <c r="T237" s="105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 s="104"/>
      <c r="BE237" s="104"/>
      <c r="BF237" s="104"/>
      <c r="BG237" s="104"/>
    </row>
    <row r="238" spans="1:59" s="360" customFormat="1" ht="12.75">
      <c r="A238" s="357"/>
      <c r="B238" s="358"/>
      <c r="C238" s="104"/>
      <c r="D238" s="104"/>
      <c r="E238" s="359"/>
      <c r="G238" s="105"/>
      <c r="H238" s="119"/>
      <c r="I238" s="119"/>
      <c r="J238" s="119"/>
      <c r="K238" s="119"/>
      <c r="L238" s="98"/>
      <c r="M238" s="98"/>
      <c r="N238" s="98"/>
      <c r="O238" s="98"/>
      <c r="P238" s="98"/>
      <c r="Q238" s="98"/>
      <c r="R238" s="98"/>
      <c r="S238" s="104"/>
      <c r="T238" s="105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4"/>
      <c r="BA238" s="104"/>
      <c r="BB238" s="104"/>
      <c r="BC238" s="104"/>
      <c r="BD238" s="104"/>
      <c r="BE238" s="104"/>
      <c r="BF238" s="104"/>
      <c r="BG238" s="104"/>
    </row>
    <row r="239" spans="1:59" s="360" customFormat="1" ht="12.75">
      <c r="A239" s="357"/>
      <c r="B239" s="358"/>
      <c r="C239" s="104"/>
      <c r="D239" s="104"/>
      <c r="E239" s="359"/>
      <c r="G239" s="105"/>
      <c r="H239" s="119"/>
      <c r="I239" s="119"/>
      <c r="J239" s="119"/>
      <c r="K239" s="119"/>
      <c r="L239" s="98"/>
      <c r="M239" s="98"/>
      <c r="N239" s="98"/>
      <c r="O239" s="98"/>
      <c r="P239" s="98"/>
      <c r="Q239" s="98"/>
      <c r="R239" s="98"/>
      <c r="S239" s="104"/>
      <c r="T239" s="105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</row>
    <row r="240" spans="1:59" s="360" customFormat="1" ht="12.75">
      <c r="A240" s="357"/>
      <c r="B240" s="358"/>
      <c r="C240" s="104"/>
      <c r="D240" s="104"/>
      <c r="E240" s="359"/>
      <c r="G240" s="105"/>
      <c r="H240" s="119"/>
      <c r="I240" s="119"/>
      <c r="J240" s="119"/>
      <c r="K240" s="119"/>
      <c r="L240" s="98"/>
      <c r="M240" s="98"/>
      <c r="N240" s="98"/>
      <c r="O240" s="98"/>
      <c r="P240" s="98"/>
      <c r="Q240" s="98"/>
      <c r="R240" s="98"/>
      <c r="S240" s="104"/>
      <c r="T240" s="105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 s="104"/>
      <c r="BE240" s="104"/>
      <c r="BF240" s="104"/>
      <c r="BG240" s="104"/>
    </row>
    <row r="241" spans="1:59" s="360" customFormat="1" ht="12.75">
      <c r="A241" s="357"/>
      <c r="B241" s="358"/>
      <c r="C241" s="104"/>
      <c r="D241" s="104"/>
      <c r="E241" s="359"/>
      <c r="G241" s="105"/>
      <c r="H241" s="119"/>
      <c r="I241" s="119"/>
      <c r="J241" s="119"/>
      <c r="K241" s="119"/>
      <c r="L241" s="98"/>
      <c r="M241" s="98"/>
      <c r="N241" s="98"/>
      <c r="O241" s="98"/>
      <c r="P241" s="98"/>
      <c r="Q241" s="98"/>
      <c r="R241" s="98"/>
      <c r="S241" s="104"/>
      <c r="T241" s="105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</row>
    <row r="242" spans="1:59" s="360" customFormat="1" ht="12.75">
      <c r="A242" s="357"/>
      <c r="B242" s="358"/>
      <c r="C242" s="104"/>
      <c r="D242" s="104"/>
      <c r="E242" s="359"/>
      <c r="G242" s="105"/>
      <c r="H242" s="119"/>
      <c r="I242" s="119"/>
      <c r="J242" s="119"/>
      <c r="K242" s="119"/>
      <c r="L242" s="98"/>
      <c r="M242" s="98"/>
      <c r="N242" s="98"/>
      <c r="O242" s="98"/>
      <c r="P242" s="98"/>
      <c r="Q242" s="98"/>
      <c r="R242" s="98"/>
      <c r="S242" s="104"/>
      <c r="T242" s="105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  <c r="BG242" s="104"/>
    </row>
    <row r="243" spans="1:59" s="360" customFormat="1" ht="12.75">
      <c r="A243" s="357"/>
      <c r="B243" s="358"/>
      <c r="C243" s="104"/>
      <c r="D243" s="104"/>
      <c r="E243" s="359"/>
      <c r="G243" s="105"/>
      <c r="H243" s="119"/>
      <c r="I243" s="119"/>
      <c r="J243" s="119"/>
      <c r="K243" s="119"/>
      <c r="L243" s="98"/>
      <c r="M243" s="98"/>
      <c r="N243" s="98"/>
      <c r="O243" s="98"/>
      <c r="P243" s="98"/>
      <c r="Q243" s="98"/>
      <c r="R243" s="98"/>
      <c r="S243" s="104"/>
      <c r="T243" s="105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</row>
    <row r="244" spans="1:59" s="360" customFormat="1" ht="12.75">
      <c r="A244" s="357"/>
      <c r="B244" s="358"/>
      <c r="C244" s="104"/>
      <c r="D244" s="104"/>
      <c r="E244" s="359"/>
      <c r="G244" s="105"/>
      <c r="H244" s="119"/>
      <c r="I244" s="119"/>
      <c r="J244" s="119"/>
      <c r="K244" s="119"/>
      <c r="L244" s="98"/>
      <c r="M244" s="98"/>
      <c r="N244" s="98"/>
      <c r="O244" s="98"/>
      <c r="P244" s="98"/>
      <c r="Q244" s="98"/>
      <c r="R244" s="98"/>
      <c r="S244" s="104"/>
      <c r="T244" s="105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04"/>
      <c r="BA244" s="104"/>
      <c r="BB244" s="104"/>
      <c r="BC244" s="104"/>
      <c r="BD244" s="104"/>
      <c r="BE244" s="104"/>
      <c r="BF244" s="104"/>
      <c r="BG244" s="104"/>
    </row>
    <row r="245" spans="1:59" s="360" customFormat="1" ht="12.75">
      <c r="A245" s="357"/>
      <c r="B245" s="358"/>
      <c r="C245" s="104"/>
      <c r="D245" s="104"/>
      <c r="E245" s="359"/>
      <c r="G245" s="105"/>
      <c r="H245" s="119"/>
      <c r="I245" s="119"/>
      <c r="J245" s="119"/>
      <c r="K245" s="119"/>
      <c r="L245" s="98"/>
      <c r="M245" s="98"/>
      <c r="N245" s="98"/>
      <c r="O245" s="98"/>
      <c r="P245" s="98"/>
      <c r="Q245" s="98"/>
      <c r="R245" s="98"/>
      <c r="S245" s="104"/>
      <c r="T245" s="105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4"/>
      <c r="BA245" s="104"/>
      <c r="BB245" s="104"/>
      <c r="BC245" s="104"/>
      <c r="BD245" s="104"/>
      <c r="BE245" s="104"/>
      <c r="BF245" s="104"/>
      <c r="BG245" s="104"/>
    </row>
    <row r="246" spans="1:59" s="360" customFormat="1" ht="12.75">
      <c r="A246" s="357"/>
      <c r="B246" s="358"/>
      <c r="C246" s="104"/>
      <c r="D246" s="104"/>
      <c r="E246" s="359"/>
      <c r="G246" s="105"/>
      <c r="H246" s="119"/>
      <c r="I246" s="119"/>
      <c r="J246" s="119"/>
      <c r="K246" s="119"/>
      <c r="L246" s="98"/>
      <c r="M246" s="98"/>
      <c r="N246" s="98"/>
      <c r="O246" s="98"/>
      <c r="P246" s="98"/>
      <c r="Q246" s="98"/>
      <c r="R246" s="98"/>
      <c r="S246" s="104"/>
      <c r="T246" s="105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</row>
    <row r="247" spans="1:59" s="360" customFormat="1" ht="12.75">
      <c r="A247" s="357"/>
      <c r="B247" s="358"/>
      <c r="C247" s="104"/>
      <c r="D247" s="104"/>
      <c r="E247" s="359"/>
      <c r="G247" s="105"/>
      <c r="H247" s="119"/>
      <c r="I247" s="119"/>
      <c r="J247" s="119"/>
      <c r="K247" s="119"/>
      <c r="L247" s="98"/>
      <c r="M247" s="98"/>
      <c r="N247" s="98"/>
      <c r="O247" s="98"/>
      <c r="P247" s="98"/>
      <c r="Q247" s="98"/>
      <c r="R247" s="98"/>
      <c r="S247" s="104"/>
      <c r="T247" s="105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</row>
    <row r="248" spans="1:59" s="360" customFormat="1" ht="12.75">
      <c r="A248" s="357"/>
      <c r="B248" s="358"/>
      <c r="C248" s="104"/>
      <c r="D248" s="104"/>
      <c r="E248" s="359"/>
      <c r="G248" s="105"/>
      <c r="H248" s="119"/>
      <c r="I248" s="119"/>
      <c r="J248" s="119"/>
      <c r="K248" s="119"/>
      <c r="L248" s="98"/>
      <c r="M248" s="98"/>
      <c r="N248" s="98"/>
      <c r="O248" s="98"/>
      <c r="P248" s="98"/>
      <c r="Q248" s="98"/>
      <c r="R248" s="98"/>
      <c r="S248" s="104"/>
      <c r="T248" s="105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4"/>
      <c r="BA248" s="104"/>
      <c r="BB248" s="104"/>
      <c r="BC248" s="104"/>
      <c r="BD248" s="104"/>
      <c r="BE248" s="104"/>
      <c r="BF248" s="104"/>
      <c r="BG248" s="104"/>
    </row>
    <row r="249" spans="1:59" s="360" customFormat="1" ht="12.75">
      <c r="A249" s="357"/>
      <c r="B249" s="358"/>
      <c r="C249" s="104"/>
      <c r="D249" s="104"/>
      <c r="E249" s="359"/>
      <c r="G249" s="105"/>
      <c r="H249" s="119"/>
      <c r="I249" s="119"/>
      <c r="J249" s="119"/>
      <c r="K249" s="119"/>
      <c r="L249" s="98"/>
      <c r="M249" s="98"/>
      <c r="N249" s="98"/>
      <c r="O249" s="98"/>
      <c r="P249" s="98"/>
      <c r="Q249" s="98"/>
      <c r="R249" s="98"/>
      <c r="S249" s="104"/>
      <c r="T249" s="105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4"/>
      <c r="BD249" s="104"/>
      <c r="BE249" s="104"/>
      <c r="BF249" s="104"/>
      <c r="BG249" s="104"/>
    </row>
    <row r="250" spans="1:59" s="360" customFormat="1" ht="12.75">
      <c r="A250" s="357"/>
      <c r="B250" s="358"/>
      <c r="C250" s="104"/>
      <c r="D250" s="104"/>
      <c r="E250" s="359"/>
      <c r="G250" s="105"/>
      <c r="H250" s="119"/>
      <c r="I250" s="119"/>
      <c r="J250" s="119"/>
      <c r="K250" s="119"/>
      <c r="L250" s="98"/>
      <c r="M250" s="98"/>
      <c r="N250" s="98"/>
      <c r="O250" s="98"/>
      <c r="P250" s="98"/>
      <c r="Q250" s="98"/>
      <c r="R250" s="98"/>
      <c r="S250" s="104"/>
      <c r="T250" s="105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4"/>
      <c r="BA250" s="104"/>
      <c r="BB250" s="104"/>
      <c r="BC250" s="104"/>
      <c r="BD250" s="104"/>
      <c r="BE250" s="104"/>
      <c r="BF250" s="104"/>
      <c r="BG250" s="104"/>
    </row>
    <row r="251" spans="1:59" s="360" customFormat="1" ht="12.75">
      <c r="A251" s="357"/>
      <c r="B251" s="358"/>
      <c r="C251" s="104"/>
      <c r="D251" s="104"/>
      <c r="E251" s="359"/>
      <c r="G251" s="105"/>
      <c r="H251" s="119"/>
      <c r="I251" s="119"/>
      <c r="J251" s="119"/>
      <c r="K251" s="119"/>
      <c r="L251" s="98"/>
      <c r="M251" s="98"/>
      <c r="N251" s="98"/>
      <c r="O251" s="98"/>
      <c r="P251" s="98"/>
      <c r="Q251" s="98"/>
      <c r="R251" s="98"/>
      <c r="S251" s="104"/>
      <c r="T251" s="105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4"/>
      <c r="BA251" s="104"/>
      <c r="BB251" s="104"/>
      <c r="BC251" s="104"/>
      <c r="BD251" s="104"/>
      <c r="BE251" s="104"/>
      <c r="BF251" s="104"/>
      <c r="BG251" s="104"/>
    </row>
    <row r="252" spans="1:59" s="360" customFormat="1" ht="12.75">
      <c r="A252" s="357"/>
      <c r="B252" s="358"/>
      <c r="C252" s="104"/>
      <c r="D252" s="104"/>
      <c r="E252" s="359"/>
      <c r="G252" s="105"/>
      <c r="H252" s="119"/>
      <c r="I252" s="119"/>
      <c r="J252" s="119"/>
      <c r="K252" s="119"/>
      <c r="L252" s="98"/>
      <c r="M252" s="98"/>
      <c r="N252" s="98"/>
      <c r="O252" s="98"/>
      <c r="P252" s="98"/>
      <c r="Q252" s="98"/>
      <c r="R252" s="98"/>
      <c r="S252" s="104"/>
      <c r="T252" s="105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4"/>
      <c r="BA252" s="104"/>
      <c r="BB252" s="104"/>
      <c r="BC252" s="104"/>
      <c r="BD252" s="104"/>
      <c r="BE252" s="104"/>
      <c r="BF252" s="104"/>
      <c r="BG252" s="104"/>
    </row>
  </sheetData>
  <mergeCells count="1">
    <mergeCell ref="C3:D3"/>
  </mergeCells>
  <printOptions/>
  <pageMargins left="0.4724409448818898" right="0.31496062992125984" top="0.6692913385826772" bottom="0.9448818897637796" header="0.4724409448818898" footer="0.4724409448818898"/>
  <pageSetup fitToHeight="99" horizontalDpi="600" verticalDpi="600" orientation="portrait" paperSize="9" scale="80" r:id="rId1"/>
  <headerFooter alignWithMargins="0">
    <oddFooter>&amp;L&amp;F
&amp;A&amp;C&amp;P/&amp;N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G192"/>
  <sheetViews>
    <sheetView showGridLines="0" view="pageBreakPreview" zoomScaleSheetLayoutView="100" workbookViewId="0" topLeftCell="A1">
      <selection activeCell="G6" sqref="G6"/>
    </sheetView>
  </sheetViews>
  <sheetFormatPr defaultColWidth="9.140625" defaultRowHeight="12.75"/>
  <cols>
    <col min="1" max="1" width="6.8515625" style="357" customWidth="1"/>
    <col min="2" max="2" width="15.140625" style="358" customWidth="1"/>
    <col min="3" max="3" width="47.8515625" style="104" customWidth="1"/>
    <col min="4" max="4" width="10.28125" style="104" customWidth="1"/>
    <col min="5" max="5" width="10.8515625" style="361" customWidth="1"/>
    <col min="6" max="6" width="11.421875" style="360" customWidth="1"/>
    <col min="7" max="7" width="18.140625" style="105" customWidth="1"/>
    <col min="8" max="8" width="14.421875" style="119" customWidth="1"/>
    <col min="9" max="9" width="14.57421875" style="119" customWidth="1"/>
    <col min="10" max="10" width="10.00390625" style="119" customWidth="1"/>
    <col min="11" max="11" width="17.28125" style="119" customWidth="1"/>
    <col min="12" max="12" width="11.7109375" style="98" bestFit="1" customWidth="1"/>
    <col min="13" max="13" width="12.8515625" style="98" bestFit="1" customWidth="1"/>
    <col min="14" max="14" width="11.28125" style="98" bestFit="1" customWidth="1"/>
    <col min="15" max="16" width="9.140625" style="98" customWidth="1"/>
    <col min="17" max="17" width="11.28125" style="98" bestFit="1" customWidth="1"/>
    <col min="18" max="18" width="9.140625" style="98" customWidth="1"/>
    <col min="19" max="19" width="9.140625" style="104" customWidth="1"/>
    <col min="20" max="20" width="10.140625" style="105" bestFit="1" customWidth="1"/>
    <col min="21" max="26" width="9.140625" style="104" customWidth="1"/>
    <col min="27" max="29" width="9.28125" style="104" bestFit="1" customWidth="1"/>
    <col min="30" max="53" width="9.140625" style="104" customWidth="1"/>
    <col min="54" max="54" width="9.28125" style="104" bestFit="1" customWidth="1"/>
    <col min="55" max="55" width="11.00390625" style="104" bestFit="1" customWidth="1"/>
    <col min="56" max="59" width="9.28125" style="104" bestFit="1" customWidth="1"/>
    <col min="60" max="16384" width="9.140625" style="104" customWidth="1"/>
  </cols>
  <sheetData>
    <row r="1" spans="1:20" s="39" customFormat="1" ht="57" customHeight="1">
      <c r="A1" s="387" t="s">
        <v>0</v>
      </c>
      <c r="B1" s="388"/>
      <c r="C1" s="389" t="s">
        <v>84</v>
      </c>
      <c r="D1" s="390"/>
      <c r="E1" s="390"/>
      <c r="F1" s="391"/>
      <c r="G1" s="392" t="s">
        <v>1</v>
      </c>
      <c r="H1" s="393"/>
      <c r="I1" s="393"/>
      <c r="J1" s="393"/>
      <c r="K1" s="393"/>
      <c r="L1" s="38"/>
      <c r="M1" s="38"/>
      <c r="N1" s="38"/>
      <c r="O1" s="38"/>
      <c r="P1" s="38"/>
      <c r="Q1" s="38"/>
      <c r="R1" s="38"/>
      <c r="T1" s="40"/>
    </row>
    <row r="2" spans="1:20" s="88" customFormat="1" ht="29.25" customHeight="1">
      <c r="A2" s="394" t="s">
        <v>2</v>
      </c>
      <c r="B2" s="395"/>
      <c r="C2" s="520" t="s">
        <v>103</v>
      </c>
      <c r="D2" s="102"/>
      <c r="E2" s="396"/>
      <c r="F2" s="397"/>
      <c r="G2" s="398" t="s">
        <v>3</v>
      </c>
      <c r="H2" s="393"/>
      <c r="I2" s="393"/>
      <c r="J2" s="393"/>
      <c r="K2" s="393"/>
      <c r="L2" s="38"/>
      <c r="M2" s="38"/>
      <c r="N2" s="38"/>
      <c r="O2" s="38"/>
      <c r="P2" s="38"/>
      <c r="Q2" s="38"/>
      <c r="R2" s="38"/>
      <c r="T2" s="399"/>
    </row>
    <row r="3" spans="1:20" s="405" customFormat="1" ht="70.5" customHeight="1">
      <c r="A3" s="394" t="s">
        <v>4</v>
      </c>
      <c r="B3" s="395"/>
      <c r="C3" s="657" t="s">
        <v>178</v>
      </c>
      <c r="D3" s="658"/>
      <c r="E3" s="400"/>
      <c r="F3" s="401"/>
      <c r="G3" s="1" t="s">
        <v>237</v>
      </c>
      <c r="H3" s="402"/>
      <c r="I3" s="403"/>
      <c r="J3" s="402"/>
      <c r="K3" s="402"/>
      <c r="L3" s="404"/>
      <c r="M3" s="404"/>
      <c r="N3" s="404"/>
      <c r="O3" s="404"/>
      <c r="P3" s="404"/>
      <c r="Q3" s="404"/>
      <c r="R3" s="404"/>
      <c r="T3" s="406"/>
    </row>
    <row r="4" spans="1:20" s="286" customFormat="1" ht="24" customHeight="1">
      <c r="A4" s="518"/>
      <c r="B4" s="107" t="s">
        <v>878</v>
      </c>
      <c r="C4" s="434" t="s">
        <v>1011</v>
      </c>
      <c r="D4" s="109"/>
      <c r="E4" s="407"/>
      <c r="F4" s="110"/>
      <c r="G4" s="111"/>
      <c r="H4" s="283"/>
      <c r="I4" s="283"/>
      <c r="J4" s="283"/>
      <c r="K4" s="283"/>
      <c r="L4" s="255"/>
      <c r="M4" s="255"/>
      <c r="N4" s="255"/>
      <c r="O4" s="255"/>
      <c r="P4" s="255"/>
      <c r="Q4" s="255"/>
      <c r="R4" s="255"/>
      <c r="T4" s="408"/>
    </row>
    <row r="5" spans="1:7" ht="5.25" customHeight="1" thickBot="1">
      <c r="A5" s="113"/>
      <c r="B5" s="114"/>
      <c r="C5" s="115"/>
      <c r="D5" s="115"/>
      <c r="E5" s="116"/>
      <c r="F5" s="117"/>
      <c r="G5" s="118"/>
    </row>
    <row r="6" spans="1:20" s="128" customFormat="1" ht="51.75" customHeight="1" thickBot="1">
      <c r="A6" s="120" t="s">
        <v>5</v>
      </c>
      <c r="B6" s="121"/>
      <c r="C6" s="122" t="s">
        <v>6</v>
      </c>
      <c r="D6" s="123" t="s">
        <v>7</v>
      </c>
      <c r="E6" s="124" t="s">
        <v>8</v>
      </c>
      <c r="F6" s="125" t="s">
        <v>9</v>
      </c>
      <c r="G6" s="126" t="s">
        <v>10</v>
      </c>
      <c r="H6" s="119"/>
      <c r="I6" s="119"/>
      <c r="J6" s="119"/>
      <c r="K6" s="119"/>
      <c r="L6" s="127"/>
      <c r="M6" s="127"/>
      <c r="N6" s="127"/>
      <c r="O6" s="127"/>
      <c r="P6" s="127"/>
      <c r="Q6" s="127"/>
      <c r="R6" s="127"/>
      <c r="T6" s="129"/>
    </row>
    <row r="7" spans="1:20" s="139" customFormat="1" ht="24" customHeight="1" thickTop="1">
      <c r="A7" s="130"/>
      <c r="B7" s="131"/>
      <c r="C7" s="132" t="s">
        <v>11</v>
      </c>
      <c r="D7" s="133"/>
      <c r="E7" s="134"/>
      <c r="F7" s="135"/>
      <c r="G7" s="136"/>
      <c r="H7" s="137"/>
      <c r="I7" s="137"/>
      <c r="J7" s="137"/>
      <c r="K7" s="137"/>
      <c r="L7" s="138"/>
      <c r="M7" s="138"/>
      <c r="N7" s="138"/>
      <c r="O7" s="138"/>
      <c r="P7" s="138"/>
      <c r="Q7" s="138"/>
      <c r="R7" s="138"/>
      <c r="T7" s="140"/>
    </row>
    <row r="8" spans="1:7" s="139" customFormat="1" ht="12" customHeight="1">
      <c r="A8" s="130"/>
      <c r="B8" s="131"/>
      <c r="C8" s="229"/>
      <c r="D8" s="133"/>
      <c r="E8" s="134"/>
      <c r="F8" s="135"/>
      <c r="G8" s="136"/>
    </row>
    <row r="9" spans="1:20" s="9" customFormat="1" ht="6" customHeight="1">
      <c r="A9" s="2"/>
      <c r="B9" s="3"/>
      <c r="C9" s="4"/>
      <c r="D9" s="5"/>
      <c r="E9" s="5"/>
      <c r="F9" s="5"/>
      <c r="G9" s="6"/>
      <c r="H9" s="7"/>
      <c r="I9" s="7"/>
      <c r="J9" s="7"/>
      <c r="K9" s="7"/>
      <c r="L9" s="8"/>
      <c r="M9" s="8"/>
      <c r="N9" s="8"/>
      <c r="O9" s="8"/>
      <c r="P9" s="8"/>
      <c r="Q9" s="8"/>
      <c r="R9" s="8"/>
      <c r="T9" s="10"/>
    </row>
    <row r="10" spans="1:20" s="128" customFormat="1" ht="10.5" customHeight="1">
      <c r="A10" s="141"/>
      <c r="B10" s="142"/>
      <c r="C10" s="11"/>
      <c r="D10" s="143"/>
      <c r="E10" s="144"/>
      <c r="F10" s="145"/>
      <c r="G10" s="146"/>
      <c r="H10" s="119"/>
      <c r="I10" s="119"/>
      <c r="J10" s="119"/>
      <c r="K10" s="119"/>
      <c r="L10" s="127"/>
      <c r="M10" s="127"/>
      <c r="N10" s="127"/>
      <c r="O10" s="127"/>
      <c r="P10" s="127"/>
      <c r="Q10" s="127"/>
      <c r="R10" s="127"/>
      <c r="T10" s="129"/>
    </row>
    <row r="11" spans="1:20" s="99" customFormat="1" ht="18" customHeight="1">
      <c r="A11" s="147"/>
      <c r="B11" s="148"/>
      <c r="C11" s="149" t="s">
        <v>12</v>
      </c>
      <c r="D11" s="150"/>
      <c r="E11" s="151"/>
      <c r="F11" s="152"/>
      <c r="G11" s="153"/>
      <c r="H11" s="119"/>
      <c r="I11" s="119"/>
      <c r="J11" s="119"/>
      <c r="K11" s="119"/>
      <c r="L11" s="98"/>
      <c r="M11" s="98"/>
      <c r="N11" s="98"/>
      <c r="O11" s="98"/>
      <c r="P11" s="98"/>
      <c r="Q11" s="98"/>
      <c r="R11" s="98"/>
      <c r="T11" s="100"/>
    </row>
    <row r="12" spans="1:20" s="161" customFormat="1" ht="10.5" customHeight="1">
      <c r="A12" s="147"/>
      <c r="B12" s="154"/>
      <c r="C12" s="155"/>
      <c r="D12" s="156"/>
      <c r="E12" s="157"/>
      <c r="F12" s="158"/>
      <c r="G12" s="159"/>
      <c r="H12" s="119"/>
      <c r="I12" s="119"/>
      <c r="J12" s="119"/>
      <c r="K12" s="119"/>
      <c r="L12" s="160"/>
      <c r="M12" s="160"/>
      <c r="N12" s="160"/>
      <c r="O12" s="160"/>
      <c r="P12" s="160"/>
      <c r="Q12" s="160"/>
      <c r="R12" s="160"/>
      <c r="T12" s="162"/>
    </row>
    <row r="13" spans="1:20" s="9" customFormat="1" ht="6" customHeight="1">
      <c r="A13" s="2"/>
      <c r="B13" s="3"/>
      <c r="C13" s="4"/>
      <c r="D13" s="5"/>
      <c r="E13" s="5"/>
      <c r="F13" s="5"/>
      <c r="G13" s="6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T13" s="10"/>
    </row>
    <row r="14" spans="1:20" s="161" customFormat="1" ht="18" customHeight="1">
      <c r="A14" s="147"/>
      <c r="B14" s="154"/>
      <c r="C14" s="155"/>
      <c r="D14" s="156"/>
      <c r="E14" s="157"/>
      <c r="F14" s="158"/>
      <c r="G14" s="159"/>
      <c r="H14" s="119"/>
      <c r="I14" s="119"/>
      <c r="J14" s="119"/>
      <c r="K14" s="119"/>
      <c r="L14" s="160"/>
      <c r="M14" s="160"/>
      <c r="N14" s="160"/>
      <c r="O14" s="160"/>
      <c r="P14" s="160"/>
      <c r="Q14" s="160"/>
      <c r="R14" s="160"/>
      <c r="T14" s="162"/>
    </row>
    <row r="15" spans="1:20" s="171" customFormat="1" ht="18" customHeight="1">
      <c r="A15" s="163" t="str">
        <f>A26</f>
        <v>1</v>
      </c>
      <c r="B15" s="164" t="s">
        <v>13</v>
      </c>
      <c r="C15" s="166" t="str">
        <f>C26</f>
        <v>Bourání</v>
      </c>
      <c r="D15" s="167"/>
      <c r="E15" s="168"/>
      <c r="F15" s="169"/>
      <c r="G15" s="165">
        <f>G41</f>
        <v>0</v>
      </c>
      <c r="H15" s="137"/>
      <c r="I15" s="137"/>
      <c r="J15" s="137"/>
      <c r="K15" s="137"/>
      <c r="L15" s="170"/>
      <c r="M15" s="170"/>
      <c r="N15" s="170"/>
      <c r="O15" s="170"/>
      <c r="P15" s="170"/>
      <c r="Q15" s="170"/>
      <c r="R15" s="170"/>
      <c r="T15" s="172"/>
    </row>
    <row r="16" spans="1:20" s="171" customFormat="1" ht="18" customHeight="1">
      <c r="A16" s="163" t="str">
        <f>A43</f>
        <v>2</v>
      </c>
      <c r="B16" s="164" t="str">
        <f>B43</f>
        <v>27</v>
      </c>
      <c r="C16" s="166" t="str">
        <f>C43</f>
        <v>Základy</v>
      </c>
      <c r="D16" s="167"/>
      <c r="E16" s="168"/>
      <c r="F16" s="169"/>
      <c r="G16" s="165">
        <f>G58</f>
        <v>0</v>
      </c>
      <c r="H16" s="137"/>
      <c r="I16" s="137"/>
      <c r="J16" s="137"/>
      <c r="K16" s="137"/>
      <c r="L16" s="170"/>
      <c r="M16" s="170"/>
      <c r="N16" s="170"/>
      <c r="O16" s="170"/>
      <c r="P16" s="170"/>
      <c r="Q16" s="170"/>
      <c r="R16" s="170"/>
      <c r="T16" s="172"/>
    </row>
    <row r="17" spans="1:20" s="171" customFormat="1" ht="18" customHeight="1">
      <c r="A17" s="163" t="str">
        <f>A60</f>
        <v>3</v>
      </c>
      <c r="B17" s="164" t="str">
        <f>B60</f>
        <v>41</v>
      </c>
      <c r="C17" s="166" t="str">
        <f>C60</f>
        <v xml:space="preserve">Stropy a stropní konstrukce </v>
      </c>
      <c r="D17" s="167"/>
      <c r="E17" s="168"/>
      <c r="F17" s="169"/>
      <c r="G17" s="165">
        <f>G76</f>
        <v>0</v>
      </c>
      <c r="H17" s="137"/>
      <c r="I17" s="137"/>
      <c r="J17" s="137"/>
      <c r="K17" s="137"/>
      <c r="L17" s="170"/>
      <c r="M17" s="170"/>
      <c r="N17" s="170"/>
      <c r="O17" s="170"/>
      <c r="P17" s="170"/>
      <c r="Q17" s="170"/>
      <c r="R17" s="170"/>
      <c r="T17" s="172"/>
    </row>
    <row r="18" spans="1:20" s="161" customFormat="1" ht="18" customHeight="1">
      <c r="A18" s="163" t="str">
        <f>A78</f>
        <v>4</v>
      </c>
      <c r="B18" s="164" t="str">
        <f>B78</f>
        <v>62</v>
      </c>
      <c r="C18" s="155" t="str">
        <f>C78</f>
        <v>Úprava povrchů vnější</v>
      </c>
      <c r="D18" s="156"/>
      <c r="E18" s="157"/>
      <c r="F18" s="158"/>
      <c r="G18" s="159">
        <f>G83</f>
        <v>0</v>
      </c>
      <c r="H18" s="119"/>
      <c r="I18" s="119"/>
      <c r="J18" s="119"/>
      <c r="K18" s="119"/>
      <c r="L18" s="160"/>
      <c r="M18" s="160"/>
      <c r="N18" s="160"/>
      <c r="O18" s="160"/>
      <c r="P18" s="160"/>
      <c r="Q18" s="160"/>
      <c r="R18" s="160"/>
      <c r="T18" s="162"/>
    </row>
    <row r="19" spans="1:20" s="161" customFormat="1" ht="18" customHeight="1">
      <c r="A19" s="163" t="str">
        <f>A85</f>
        <v>5</v>
      </c>
      <c r="B19" s="164" t="str">
        <f>B85</f>
        <v>09</v>
      </c>
      <c r="C19" s="155" t="str">
        <f>C85</f>
        <v>Ostatní konstrukce a práce</v>
      </c>
      <c r="D19" s="156"/>
      <c r="E19" s="157"/>
      <c r="F19" s="158"/>
      <c r="G19" s="159">
        <f>G89</f>
        <v>0</v>
      </c>
      <c r="H19" s="119"/>
      <c r="I19" s="119"/>
      <c r="J19" s="119"/>
      <c r="K19" s="119"/>
      <c r="L19" s="160"/>
      <c r="M19" s="160"/>
      <c r="N19" s="160"/>
      <c r="O19" s="160"/>
      <c r="P19" s="160"/>
      <c r="Q19" s="160"/>
      <c r="R19" s="160"/>
      <c r="T19" s="162"/>
    </row>
    <row r="20" spans="1:20" s="161" customFormat="1" ht="18" customHeight="1">
      <c r="A20" s="163" t="str">
        <f>A91</f>
        <v>6</v>
      </c>
      <c r="B20" s="164" t="str">
        <f>$B$91</f>
        <v>767</v>
      </c>
      <c r="C20" s="155" t="str">
        <f>C91</f>
        <v>Konstrukce zámečnické</v>
      </c>
      <c r="D20" s="156"/>
      <c r="E20" s="157"/>
      <c r="F20" s="158"/>
      <c r="G20" s="159">
        <f>G105</f>
        <v>0</v>
      </c>
      <c r="H20" s="119"/>
      <c r="I20" s="119"/>
      <c r="J20" s="119"/>
      <c r="K20" s="119"/>
      <c r="L20" s="160"/>
      <c r="M20" s="160"/>
      <c r="N20" s="160"/>
      <c r="O20" s="160"/>
      <c r="P20" s="160"/>
      <c r="Q20" s="160"/>
      <c r="R20" s="160"/>
      <c r="T20" s="162"/>
    </row>
    <row r="21" spans="1:20" s="161" customFormat="1" ht="18" customHeight="1">
      <c r="A21" s="173" t="str">
        <f aca="true" t="shared" si="0" ref="A21:C21">A107</f>
        <v>7</v>
      </c>
      <c r="B21" s="174" t="str">
        <f t="shared" si="0"/>
        <v>771</v>
      </c>
      <c r="C21" s="175" t="str">
        <f t="shared" si="0"/>
        <v>Podlahy z dlaždic</v>
      </c>
      <c r="D21" s="176"/>
      <c r="E21" s="177"/>
      <c r="F21" s="178"/>
      <c r="G21" s="179">
        <f>G121</f>
        <v>0</v>
      </c>
      <c r="H21" s="119"/>
      <c r="I21" s="119"/>
      <c r="J21" s="119"/>
      <c r="K21" s="119"/>
      <c r="L21" s="160"/>
      <c r="M21" s="160"/>
      <c r="N21" s="160"/>
      <c r="O21" s="160"/>
      <c r="P21" s="160"/>
      <c r="Q21" s="160"/>
      <c r="R21" s="160"/>
      <c r="T21" s="162"/>
    </row>
    <row r="22" spans="1:20" s="161" customFormat="1" ht="18" customHeight="1">
      <c r="A22" s="173" t="str">
        <f aca="true" t="shared" si="1" ref="A22:C22">A123</f>
        <v>A</v>
      </c>
      <c r="B22" s="174"/>
      <c r="C22" s="175" t="str">
        <f t="shared" si="1"/>
        <v>Jiné</v>
      </c>
      <c r="D22" s="176"/>
      <c r="E22" s="177"/>
      <c r="F22" s="178"/>
      <c r="G22" s="179">
        <f>G127</f>
        <v>0</v>
      </c>
      <c r="H22" s="119"/>
      <c r="I22" s="119"/>
      <c r="J22" s="119"/>
      <c r="K22" s="119"/>
      <c r="L22" s="160"/>
      <c r="M22" s="160"/>
      <c r="N22" s="160"/>
      <c r="O22" s="160"/>
      <c r="P22" s="160"/>
      <c r="Q22" s="160"/>
      <c r="R22" s="160"/>
      <c r="T22" s="162"/>
    </row>
    <row r="23" spans="1:20" s="99" customFormat="1" ht="18" customHeight="1" thickBot="1">
      <c r="A23" s="180"/>
      <c r="B23" s="181"/>
      <c r="C23" s="182"/>
      <c r="D23" s="182"/>
      <c r="E23" s="183"/>
      <c r="F23" s="184"/>
      <c r="G23" s="185"/>
      <c r="H23" s="119"/>
      <c r="I23" s="119"/>
      <c r="J23" s="119"/>
      <c r="K23" s="119"/>
      <c r="L23" s="98"/>
      <c r="M23" s="98"/>
      <c r="N23" s="98"/>
      <c r="O23" s="98"/>
      <c r="P23" s="98"/>
      <c r="Q23" s="98"/>
      <c r="R23" s="98"/>
      <c r="T23" s="100"/>
    </row>
    <row r="24" spans="1:20" s="194" customFormat="1" ht="23.25" customHeight="1" thickBot="1">
      <c r="A24" s="186"/>
      <c r="B24" s="187"/>
      <c r="C24" s="188" t="s">
        <v>14</v>
      </c>
      <c r="D24" s="188"/>
      <c r="E24" s="189"/>
      <c r="F24" s="190"/>
      <c r="G24" s="191">
        <f>SUM(G15:G23)</f>
        <v>0</v>
      </c>
      <c r="H24" s="192"/>
      <c r="I24" s="192"/>
      <c r="J24" s="192"/>
      <c r="K24" s="192"/>
      <c r="L24" s="193"/>
      <c r="M24" s="193"/>
      <c r="N24" s="193"/>
      <c r="O24" s="193"/>
      <c r="P24" s="193"/>
      <c r="Q24" s="193"/>
      <c r="R24" s="193"/>
      <c r="T24" s="195"/>
    </row>
    <row r="25" spans="1:7" ht="13.5" customHeight="1" thickBot="1">
      <c r="A25" s="196"/>
      <c r="B25" s="197"/>
      <c r="C25" s="198"/>
      <c r="D25" s="198"/>
      <c r="E25" s="199"/>
      <c r="F25" s="200"/>
      <c r="G25" s="201"/>
    </row>
    <row r="26" spans="1:20" s="210" customFormat="1" ht="16.5" customHeight="1" thickBot="1">
      <c r="A26" s="202" t="s">
        <v>15</v>
      </c>
      <c r="B26" s="203" t="s">
        <v>16</v>
      </c>
      <c r="C26" s="204" t="s">
        <v>17</v>
      </c>
      <c r="D26" s="205"/>
      <c r="E26" s="206"/>
      <c r="F26" s="207"/>
      <c r="G26" s="208"/>
      <c r="H26" s="192"/>
      <c r="I26" s="192"/>
      <c r="J26" s="192"/>
      <c r="K26" s="192"/>
      <c r="L26" s="209"/>
      <c r="M26" s="209"/>
      <c r="N26" s="209"/>
      <c r="O26" s="209"/>
      <c r="P26" s="209"/>
      <c r="Q26" s="209"/>
      <c r="R26" s="209"/>
      <c r="T26" s="211"/>
    </row>
    <row r="27" spans="1:20" s="256" customFormat="1" ht="12.75">
      <c r="A27" s="248"/>
      <c r="B27" s="249"/>
      <c r="C27" s="250"/>
      <c r="D27" s="251"/>
      <c r="E27" s="215"/>
      <c r="F27" s="252"/>
      <c r="G27" s="253"/>
      <c r="H27" s="254"/>
      <c r="I27" s="137"/>
      <c r="J27" s="137"/>
      <c r="K27" s="137"/>
      <c r="L27" s="255"/>
      <c r="M27" s="255"/>
      <c r="N27" s="255"/>
      <c r="O27" s="255"/>
      <c r="P27" s="255"/>
      <c r="Q27" s="255"/>
      <c r="R27" s="255"/>
      <c r="T27" s="257"/>
    </row>
    <row r="28" spans="1:17" s="21" customFormat="1" ht="20.25" customHeight="1">
      <c r="A28" s="12" t="s">
        <v>136</v>
      </c>
      <c r="B28" s="13" t="s">
        <v>117</v>
      </c>
      <c r="C28" s="14" t="s">
        <v>118</v>
      </c>
      <c r="D28" s="15" t="s">
        <v>19</v>
      </c>
      <c r="E28" s="16">
        <f>SUM(D29:D30)</f>
        <v>6.703200000000001</v>
      </c>
      <c r="F28" s="17"/>
      <c r="G28" s="18">
        <f>$E28*F28</f>
        <v>0</v>
      </c>
      <c r="H28" s="533"/>
      <c r="I28" s="533"/>
      <c r="J28" s="533">
        <v>-2.4</v>
      </c>
      <c r="K28" s="533">
        <f>E28*J28</f>
        <v>-16.087680000000002</v>
      </c>
      <c r="L28" s="534"/>
      <c r="M28" s="534"/>
      <c r="Q28" s="535"/>
    </row>
    <row r="29" spans="1:13" s="94" customFormat="1" ht="13.5" customHeight="1">
      <c r="A29" s="92"/>
      <c r="B29" s="325" t="s">
        <v>126</v>
      </c>
      <c r="C29" s="526" t="s">
        <v>175</v>
      </c>
      <c r="D29" s="522">
        <f>22.05*1.2*0.16</f>
        <v>4.2336</v>
      </c>
      <c r="E29" s="523"/>
      <c r="F29" s="93"/>
      <c r="G29" s="524"/>
      <c r="H29" s="326"/>
      <c r="I29" s="326"/>
      <c r="J29" s="326"/>
      <c r="K29" s="326"/>
      <c r="L29" s="525"/>
      <c r="M29" s="525"/>
    </row>
    <row r="30" spans="1:13" s="94" customFormat="1" ht="13.5" customHeight="1">
      <c r="A30" s="92"/>
      <c r="B30" s="325" t="s">
        <v>126</v>
      </c>
      <c r="C30" s="521" t="s">
        <v>176</v>
      </c>
      <c r="D30" s="522">
        <f>22.05*0.8*0.14</f>
        <v>2.4696000000000002</v>
      </c>
      <c r="E30" s="523"/>
      <c r="F30" s="93"/>
      <c r="G30" s="524"/>
      <c r="H30" s="326"/>
      <c r="I30" s="326"/>
      <c r="J30" s="326"/>
      <c r="K30" s="326"/>
      <c r="L30" s="525"/>
      <c r="M30" s="525"/>
    </row>
    <row r="31" spans="1:41" s="262" customFormat="1" ht="16.5" customHeight="1">
      <c r="A31" s="363" t="s">
        <v>137</v>
      </c>
      <c r="B31" s="227" t="s">
        <v>72</v>
      </c>
      <c r="C31" s="259" t="s">
        <v>73</v>
      </c>
      <c r="D31" s="260" t="s">
        <v>18</v>
      </c>
      <c r="E31" s="228">
        <f>SUM(D32)</f>
        <v>16.36525</v>
      </c>
      <c r="F31" s="228"/>
      <c r="G31" s="18">
        <f>$E31*F31</f>
        <v>0</v>
      </c>
      <c r="H31" s="230"/>
      <c r="I31" s="230"/>
      <c r="J31" s="230">
        <v>-0.059</v>
      </c>
      <c r="K31" s="533">
        <f>E31*J31</f>
        <v>-0.9655497499999999</v>
      </c>
      <c r="L31" s="261"/>
      <c r="M31" s="261"/>
      <c r="N31" s="261"/>
      <c r="O31" s="261"/>
      <c r="P31" s="261"/>
      <c r="Q31" s="261"/>
      <c r="R31" s="261"/>
      <c r="T31" s="263"/>
      <c r="X31" s="262">
        <f>IF(AB31=0,I31,0)</f>
        <v>0</v>
      </c>
      <c r="Y31" s="262">
        <f>IF(AB31=15,I31,0)</f>
        <v>0</v>
      </c>
      <c r="Z31" s="262">
        <f>IF(AB31=21,I31,0)</f>
        <v>0</v>
      </c>
      <c r="AB31" s="262">
        <v>21</v>
      </c>
      <c r="AC31" s="262">
        <f>F31*0</f>
        <v>0</v>
      </c>
      <c r="AD31" s="262">
        <f>F31*(1-0)</f>
        <v>0</v>
      </c>
      <c r="AK31" s="262">
        <f>E31*AC31</f>
        <v>0</v>
      </c>
      <c r="AL31" s="262">
        <f>E31*AD31</f>
        <v>0</v>
      </c>
      <c r="AM31" s="262" t="s">
        <v>74</v>
      </c>
      <c r="AN31" s="262" t="s">
        <v>75</v>
      </c>
      <c r="AO31" s="262" t="s">
        <v>76</v>
      </c>
    </row>
    <row r="32" spans="1:20" s="289" customFormat="1" ht="32.25" customHeight="1">
      <c r="A32" s="219"/>
      <c r="B32" s="220" t="s">
        <v>126</v>
      </c>
      <c r="C32" s="264" t="s">
        <v>125</v>
      </c>
      <c r="D32" s="221">
        <f>((0.845+0.24)/2)*13.1+0.24*3.4+0.12*8.4+6.8*0.12+12.2*((0.845+0.24)/2)</f>
        <v>16.36525</v>
      </c>
      <c r="E32" s="265"/>
      <c r="F32" s="221"/>
      <c r="G32" s="222"/>
      <c r="H32" s="223"/>
      <c r="I32" s="223"/>
      <c r="J32" s="223"/>
      <c r="K32" s="223"/>
      <c r="L32" s="288"/>
      <c r="M32" s="288"/>
      <c r="N32" s="288"/>
      <c r="O32" s="288"/>
      <c r="P32" s="288"/>
      <c r="Q32" s="288"/>
      <c r="R32" s="288"/>
      <c r="T32" s="290"/>
    </row>
    <row r="33" spans="1:20" s="225" customFormat="1" ht="16.5" customHeight="1">
      <c r="A33" s="363"/>
      <c r="B33" s="220"/>
      <c r="C33" s="264"/>
      <c r="D33" s="221"/>
      <c r="E33" s="265"/>
      <c r="F33" s="221"/>
      <c r="G33" s="222"/>
      <c r="H33" s="223"/>
      <c r="I33" s="223"/>
      <c r="J33" s="223"/>
      <c r="K33" s="223"/>
      <c r="L33" s="224"/>
      <c r="M33" s="224"/>
      <c r="N33" s="224"/>
      <c r="O33" s="224"/>
      <c r="P33" s="224"/>
      <c r="Q33" s="224"/>
      <c r="R33" s="224"/>
      <c r="T33" s="226"/>
    </row>
    <row r="34" spans="1:17" s="538" customFormat="1" ht="18.75" customHeight="1">
      <c r="A34" s="363" t="s">
        <v>138</v>
      </c>
      <c r="B34" s="231" t="s">
        <v>119</v>
      </c>
      <c r="C34" s="232" t="s">
        <v>120</v>
      </c>
      <c r="D34" s="233" t="s">
        <v>104</v>
      </c>
      <c r="E34" s="16">
        <v>932</v>
      </c>
      <c r="F34" s="302"/>
      <c r="G34" s="18">
        <f>$E34*F34</f>
        <v>0</v>
      </c>
      <c r="H34" s="536">
        <v>5E-05</v>
      </c>
      <c r="I34" s="230">
        <f>E34*H34</f>
        <v>0.0466</v>
      </c>
      <c r="J34" s="536">
        <v>-0.001</v>
      </c>
      <c r="K34" s="533">
        <f>E34*J34</f>
        <v>-0.932</v>
      </c>
      <c r="L34" s="537"/>
      <c r="M34" s="537"/>
      <c r="Q34" s="539"/>
    </row>
    <row r="35" spans="1:13" s="381" customFormat="1" ht="18.75" customHeight="1">
      <c r="A35" s="363"/>
      <c r="B35" s="375" t="s">
        <v>36</v>
      </c>
      <c r="C35" s="376" t="s">
        <v>130</v>
      </c>
      <c r="D35" s="377"/>
      <c r="E35" s="91"/>
      <c r="F35" s="378"/>
      <c r="G35" s="519"/>
      <c r="H35" s="379"/>
      <c r="I35" s="379"/>
      <c r="J35" s="379"/>
      <c r="K35" s="379"/>
      <c r="L35" s="380"/>
      <c r="M35" s="380"/>
    </row>
    <row r="36" spans="1:20" s="31" customFormat="1" ht="10.5" customHeight="1">
      <c r="A36" s="23"/>
      <c r="B36" s="24"/>
      <c r="C36" s="25"/>
      <c r="D36" s="26"/>
      <c r="E36" s="27"/>
      <c r="F36" s="27"/>
      <c r="G36" s="28"/>
      <c r="H36" s="41"/>
      <c r="I36" s="37"/>
      <c r="J36" s="41"/>
      <c r="K36" s="37"/>
      <c r="L36" s="42"/>
      <c r="M36" s="30"/>
      <c r="N36" s="30"/>
      <c r="O36" s="30"/>
      <c r="P36" s="30"/>
      <c r="Q36" s="30"/>
      <c r="R36" s="30"/>
      <c r="T36" s="32"/>
    </row>
    <row r="37" spans="1:20" s="543" customFormat="1" ht="28.5" customHeight="1">
      <c r="A37" s="12" t="s">
        <v>139</v>
      </c>
      <c r="B37" s="43" t="s">
        <v>68</v>
      </c>
      <c r="C37" s="44" t="s">
        <v>22</v>
      </c>
      <c r="D37" s="45" t="s">
        <v>23</v>
      </c>
      <c r="E37" s="46">
        <f>-K37</f>
        <v>17.985229750000002</v>
      </c>
      <c r="F37" s="46"/>
      <c r="G37" s="18">
        <f aca="true" t="shared" si="2" ref="G37:G39">$E37*F37</f>
        <v>0</v>
      </c>
      <c r="H37" s="41"/>
      <c r="I37" s="540">
        <f>SUM(I26:I36)</f>
        <v>0.0466</v>
      </c>
      <c r="J37" s="541"/>
      <c r="K37" s="540">
        <f>SUM(K27:K36)</f>
        <v>-17.985229750000002</v>
      </c>
      <c r="L37" s="42"/>
      <c r="M37" s="542"/>
      <c r="N37" s="542"/>
      <c r="O37" s="542"/>
      <c r="P37" s="542"/>
      <c r="Q37" s="542"/>
      <c r="R37" s="542"/>
      <c r="T37" s="544"/>
    </row>
    <row r="38" spans="1:20" s="543" customFormat="1" ht="22.5" customHeight="1">
      <c r="A38" s="12" t="s">
        <v>140</v>
      </c>
      <c r="B38" s="43" t="s">
        <v>70</v>
      </c>
      <c r="C38" s="44" t="s">
        <v>129</v>
      </c>
      <c r="D38" s="45" t="s">
        <v>23</v>
      </c>
      <c r="E38" s="46">
        <f>E37*9</f>
        <v>161.86706775000002</v>
      </c>
      <c r="F38" s="46"/>
      <c r="G38" s="18">
        <f t="shared" si="2"/>
        <v>0</v>
      </c>
      <c r="H38" s="41"/>
      <c r="I38" s="37"/>
      <c r="J38" s="41"/>
      <c r="K38" s="37"/>
      <c r="L38" s="42"/>
      <c r="M38" s="542"/>
      <c r="N38" s="542"/>
      <c r="O38" s="542"/>
      <c r="P38" s="542"/>
      <c r="Q38" s="542"/>
      <c r="R38" s="542"/>
      <c r="T38" s="544"/>
    </row>
    <row r="39" spans="1:20" s="543" customFormat="1" ht="25.5" customHeight="1">
      <c r="A39" s="12" t="s">
        <v>141</v>
      </c>
      <c r="B39" s="43" t="s">
        <v>67</v>
      </c>
      <c r="C39" s="44" t="s">
        <v>69</v>
      </c>
      <c r="D39" s="45" t="s">
        <v>23</v>
      </c>
      <c r="E39" s="46">
        <f>E37</f>
        <v>17.985229750000002</v>
      </c>
      <c r="F39" s="46"/>
      <c r="G39" s="18">
        <f t="shared" si="2"/>
        <v>0</v>
      </c>
      <c r="H39" s="41"/>
      <c r="I39" s="37"/>
      <c r="J39" s="41"/>
      <c r="K39" s="37"/>
      <c r="L39" s="542"/>
      <c r="M39" s="542"/>
      <c r="N39" s="542"/>
      <c r="O39" s="542"/>
      <c r="P39" s="542"/>
      <c r="Q39" s="542"/>
      <c r="R39" s="542"/>
      <c r="T39" s="544"/>
    </row>
    <row r="40" spans="1:20" s="50" customFormat="1" ht="11.25" customHeight="1" thickBot="1">
      <c r="A40" s="52"/>
      <c r="B40" s="53"/>
      <c r="C40" s="266"/>
      <c r="D40" s="54"/>
      <c r="E40" s="55"/>
      <c r="F40" s="56"/>
      <c r="G40" s="57"/>
      <c r="H40" s="48"/>
      <c r="I40" s="48"/>
      <c r="J40" s="48"/>
      <c r="K40" s="48"/>
      <c r="L40" s="49"/>
      <c r="M40" s="49"/>
      <c r="N40" s="267"/>
      <c r="O40" s="267"/>
      <c r="P40" s="268"/>
      <c r="Q40" s="269"/>
      <c r="R40" s="49"/>
      <c r="T40" s="51"/>
    </row>
    <row r="41" spans="1:20" s="99" customFormat="1" ht="16.5" customHeight="1" thickBot="1">
      <c r="A41" s="237"/>
      <c r="B41" s="238"/>
      <c r="C41" s="239" t="s">
        <v>24</v>
      </c>
      <c r="D41" s="240"/>
      <c r="E41" s="241"/>
      <c r="F41" s="242"/>
      <c r="G41" s="243">
        <f>SUBTOTAL(9,G27:G40)</f>
        <v>0</v>
      </c>
      <c r="H41" s="119"/>
      <c r="I41" s="192"/>
      <c r="J41" s="119"/>
      <c r="K41" s="119"/>
      <c r="L41" s="98"/>
      <c r="M41" s="98"/>
      <c r="N41" s="98"/>
      <c r="O41" s="98"/>
      <c r="P41" s="98"/>
      <c r="Q41" s="98"/>
      <c r="R41" s="98"/>
      <c r="T41" s="100"/>
    </row>
    <row r="42" spans="1:20" s="99" customFormat="1" ht="13.5" customHeight="1" thickBot="1">
      <c r="A42" s="244"/>
      <c r="B42" s="245"/>
      <c r="C42" s="246"/>
      <c r="D42" s="246"/>
      <c r="E42" s="247"/>
      <c r="F42" s="200"/>
      <c r="G42" s="201"/>
      <c r="H42" s="119"/>
      <c r="I42" s="119"/>
      <c r="J42" s="119"/>
      <c r="K42" s="119"/>
      <c r="L42" s="98"/>
      <c r="M42" s="98"/>
      <c r="N42" s="98"/>
      <c r="O42" s="98"/>
      <c r="P42" s="98"/>
      <c r="Q42" s="98"/>
      <c r="R42" s="98"/>
      <c r="T42" s="100"/>
    </row>
    <row r="43" spans="1:20" s="210" customFormat="1" ht="16.5" customHeight="1" thickBot="1">
      <c r="A43" s="202" t="s">
        <v>25</v>
      </c>
      <c r="B43" s="203" t="s">
        <v>56</v>
      </c>
      <c r="C43" s="204" t="s">
        <v>57</v>
      </c>
      <c r="D43" s="205"/>
      <c r="E43" s="206"/>
      <c r="F43" s="207"/>
      <c r="G43" s="208"/>
      <c r="H43" s="192"/>
      <c r="I43" s="192"/>
      <c r="J43" s="192"/>
      <c r="K43" s="192"/>
      <c r="L43" s="209"/>
      <c r="M43" s="209"/>
      <c r="N43" s="209"/>
      <c r="O43" s="209"/>
      <c r="P43" s="209"/>
      <c r="Q43" s="209"/>
      <c r="R43" s="209"/>
      <c r="T43" s="211"/>
    </row>
    <row r="44" spans="1:20" s="256" customFormat="1" ht="12.75">
      <c r="A44" s="248"/>
      <c r="B44" s="249"/>
      <c r="C44" s="250"/>
      <c r="D44" s="251"/>
      <c r="E44" s="215"/>
      <c r="F44" s="252"/>
      <c r="G44" s="253"/>
      <c r="H44" s="254"/>
      <c r="I44" s="137"/>
      <c r="J44" s="137"/>
      <c r="K44" s="137"/>
      <c r="L44" s="255"/>
      <c r="M44" s="255"/>
      <c r="N44" s="255"/>
      <c r="O44" s="255"/>
      <c r="P44" s="255"/>
      <c r="Q44" s="255"/>
      <c r="R44" s="255"/>
      <c r="T44" s="257"/>
    </row>
    <row r="45" spans="1:20" s="171" customFormat="1" ht="20.25" customHeight="1">
      <c r="A45" s="363" t="s">
        <v>142</v>
      </c>
      <c r="B45" s="344" t="s">
        <v>78</v>
      </c>
      <c r="C45" s="366" t="s">
        <v>77</v>
      </c>
      <c r="D45" s="382" t="s">
        <v>50</v>
      </c>
      <c r="E45" s="55">
        <v>1</v>
      </c>
      <c r="F45" s="368"/>
      <c r="G45" s="18">
        <f aca="true" t="shared" si="3" ref="G45:G46">$E45*F45</f>
        <v>0</v>
      </c>
      <c r="H45" s="254"/>
      <c r="I45" s="137"/>
      <c r="J45" s="137"/>
      <c r="K45" s="137"/>
      <c r="L45" s="170"/>
      <c r="M45" s="170"/>
      <c r="N45" s="170"/>
      <c r="O45" s="170"/>
      <c r="P45" s="170"/>
      <c r="Q45" s="170"/>
      <c r="R45" s="170"/>
      <c r="T45" s="172"/>
    </row>
    <row r="46" spans="1:27" s="373" customFormat="1" ht="30.75" customHeight="1">
      <c r="A46" s="364" t="s">
        <v>143</v>
      </c>
      <c r="B46" s="365" t="s">
        <v>149</v>
      </c>
      <c r="C46" s="366" t="s">
        <v>940</v>
      </c>
      <c r="D46" s="367" t="s">
        <v>19</v>
      </c>
      <c r="E46" s="55">
        <f>SUM(D47:D47)</f>
        <v>5.5440000000000005</v>
      </c>
      <c r="F46" s="368"/>
      <c r="G46" s="18">
        <f t="shared" si="3"/>
        <v>0</v>
      </c>
      <c r="H46" s="230">
        <v>2.525</v>
      </c>
      <c r="I46" s="230">
        <f>E46*H46</f>
        <v>13.998600000000001</v>
      </c>
      <c r="J46" s="369"/>
      <c r="K46" s="369"/>
      <c r="L46" s="369"/>
      <c r="M46" s="369"/>
      <c r="N46" s="369"/>
      <c r="O46" s="370"/>
      <c r="P46" s="370"/>
      <c r="Q46" s="370"/>
      <c r="R46" s="370"/>
      <c r="S46" s="370"/>
      <c r="T46" s="371"/>
      <c r="U46" s="371"/>
      <c r="V46" s="372"/>
      <c r="W46" s="372"/>
      <c r="X46" s="372"/>
      <c r="Y46" s="372"/>
      <c r="Z46" s="372"/>
      <c r="AA46" s="372"/>
    </row>
    <row r="47" spans="1:20" s="31" customFormat="1" ht="15.75" customHeight="1">
      <c r="A47" s="23"/>
      <c r="B47" s="24" t="s">
        <v>126</v>
      </c>
      <c r="C47" s="25" t="s">
        <v>939</v>
      </c>
      <c r="D47" s="26">
        <f>(13.1+8.6+0.3)*1.8*0.14</f>
        <v>5.5440000000000005</v>
      </c>
      <c r="E47" s="27"/>
      <c r="F47" s="27"/>
      <c r="G47" s="28"/>
      <c r="H47" s="29"/>
      <c r="I47" s="29"/>
      <c r="J47" s="29"/>
      <c r="K47" s="29"/>
      <c r="L47" s="30"/>
      <c r="M47" s="30"/>
      <c r="N47" s="30"/>
      <c r="O47" s="30"/>
      <c r="P47" s="30"/>
      <c r="Q47" s="30"/>
      <c r="R47" s="30"/>
      <c r="T47" s="32"/>
    </row>
    <row r="48" spans="1:27" s="373" customFormat="1" ht="40.5" customHeight="1">
      <c r="A48" s="363" t="s">
        <v>26</v>
      </c>
      <c r="B48" s="365" t="s">
        <v>149</v>
      </c>
      <c r="C48" s="366" t="s">
        <v>941</v>
      </c>
      <c r="D48" s="367" t="s">
        <v>18</v>
      </c>
      <c r="E48" s="55">
        <f>SUM(D49:D49)</f>
        <v>40.70000000000001</v>
      </c>
      <c r="F48" s="368"/>
      <c r="G48" s="18">
        <f aca="true" t="shared" si="4" ref="G48">$E48*F48</f>
        <v>0</v>
      </c>
      <c r="H48" s="230">
        <v>2.645</v>
      </c>
      <c r="I48" s="230">
        <f>E48*H48</f>
        <v>107.65150000000003</v>
      </c>
      <c r="J48" s="369"/>
      <c r="K48" s="369"/>
      <c r="L48" s="369"/>
      <c r="M48" s="369"/>
      <c r="N48" s="369"/>
      <c r="O48" s="370"/>
      <c r="P48" s="370"/>
      <c r="Q48" s="370"/>
      <c r="R48" s="370"/>
      <c r="S48" s="370"/>
      <c r="T48" s="371"/>
      <c r="U48" s="371"/>
      <c r="V48" s="372"/>
      <c r="W48" s="372"/>
      <c r="X48" s="372"/>
      <c r="Y48" s="372"/>
      <c r="Z48" s="372"/>
      <c r="AA48" s="372"/>
    </row>
    <row r="49" spans="1:20" s="31" customFormat="1" ht="15.75" customHeight="1">
      <c r="A49" s="23"/>
      <c r="B49" s="24" t="s">
        <v>126</v>
      </c>
      <c r="C49" s="25" t="s">
        <v>942</v>
      </c>
      <c r="D49" s="26">
        <f>(13.1+8.6+0.3+0.6)*1.8+0.02</f>
        <v>40.70000000000001</v>
      </c>
      <c r="E49" s="27"/>
      <c r="F49" s="27"/>
      <c r="G49" s="28"/>
      <c r="H49" s="29"/>
      <c r="I49" s="29"/>
      <c r="J49" s="29"/>
      <c r="K49" s="29"/>
      <c r="L49" s="30"/>
      <c r="M49" s="30"/>
      <c r="N49" s="30"/>
      <c r="O49" s="30"/>
      <c r="P49" s="30"/>
      <c r="Q49" s="30"/>
      <c r="R49" s="30"/>
      <c r="T49" s="32"/>
    </row>
    <row r="50" spans="1:20" s="225" customFormat="1" ht="12.75">
      <c r="A50" s="219"/>
      <c r="B50" s="220"/>
      <c r="C50" s="264"/>
      <c r="D50" s="221"/>
      <c r="E50" s="265"/>
      <c r="F50" s="221"/>
      <c r="G50" s="222"/>
      <c r="H50" s="223"/>
      <c r="I50" s="223"/>
      <c r="J50" s="223"/>
      <c r="K50" s="223"/>
      <c r="L50" s="224"/>
      <c r="M50" s="224"/>
      <c r="N50" s="224"/>
      <c r="O50" s="224"/>
      <c r="P50" s="224"/>
      <c r="Q50" s="224"/>
      <c r="R50" s="224"/>
      <c r="T50" s="226"/>
    </row>
    <row r="51" spans="1:20" s="262" customFormat="1" ht="20.25" customHeight="1">
      <c r="A51" s="258" t="s">
        <v>262</v>
      </c>
      <c r="B51" s="227" t="s">
        <v>71</v>
      </c>
      <c r="C51" s="259" t="s">
        <v>935</v>
      </c>
      <c r="D51" s="260" t="s">
        <v>23</v>
      </c>
      <c r="E51" s="228">
        <f>SUM(D52)</f>
        <v>0.7532999999999999</v>
      </c>
      <c r="F51" s="228"/>
      <c r="G51" s="218">
        <f>$E51*F51</f>
        <v>0</v>
      </c>
      <c r="H51" s="230">
        <v>1.05544</v>
      </c>
      <c r="I51" s="230">
        <f>E51*H51</f>
        <v>0.7950629519999998</v>
      </c>
      <c r="J51" s="230"/>
      <c r="K51" s="230"/>
      <c r="L51" s="261"/>
      <c r="M51" s="261"/>
      <c r="N51" s="261"/>
      <c r="O51" s="261"/>
      <c r="P51" s="261"/>
      <c r="Q51" s="261"/>
      <c r="R51" s="261"/>
      <c r="T51" s="263"/>
    </row>
    <row r="52" spans="1:20" s="225" customFormat="1" ht="18.75" customHeight="1">
      <c r="A52" s="219"/>
      <c r="B52" s="220"/>
      <c r="C52" s="264" t="s">
        <v>934</v>
      </c>
      <c r="D52" s="221">
        <f>(8.37)*0.09</f>
        <v>0.7532999999999999</v>
      </c>
      <c r="E52" s="265"/>
      <c r="F52" s="221"/>
      <c r="G52" s="222"/>
      <c r="H52" s="223"/>
      <c r="I52" s="223"/>
      <c r="J52" s="223"/>
      <c r="K52" s="223"/>
      <c r="L52" s="224"/>
      <c r="M52" s="224"/>
      <c r="N52" s="224"/>
      <c r="O52" s="224"/>
      <c r="P52" s="224"/>
      <c r="Q52" s="224"/>
      <c r="R52" s="224"/>
      <c r="T52" s="226"/>
    </row>
    <row r="53" spans="1:20" s="225" customFormat="1" ht="13.5" customHeight="1">
      <c r="A53" s="219"/>
      <c r="B53" s="220"/>
      <c r="C53" s="264"/>
      <c r="D53" s="221"/>
      <c r="E53" s="265"/>
      <c r="F53" s="221"/>
      <c r="G53" s="222"/>
      <c r="H53" s="223"/>
      <c r="I53" s="223"/>
      <c r="J53" s="223"/>
      <c r="K53" s="223"/>
      <c r="L53" s="224"/>
      <c r="M53" s="224"/>
      <c r="N53" s="224"/>
      <c r="O53" s="224"/>
      <c r="P53" s="224"/>
      <c r="Q53" s="224"/>
      <c r="R53" s="224"/>
      <c r="T53" s="226"/>
    </row>
    <row r="54" spans="1:20" s="262" customFormat="1" ht="16.5" customHeight="1">
      <c r="A54" s="258" t="s">
        <v>26</v>
      </c>
      <c r="B54" s="227" t="s">
        <v>150</v>
      </c>
      <c r="C54" s="259" t="s">
        <v>127</v>
      </c>
      <c r="D54" s="260" t="s">
        <v>18</v>
      </c>
      <c r="E54" s="228">
        <f>SUM(D55)</f>
        <v>4.354000000000001</v>
      </c>
      <c r="F54" s="228"/>
      <c r="G54" s="218">
        <f aca="true" t="shared" si="5" ref="G54">$E54*F54</f>
        <v>0</v>
      </c>
      <c r="H54" s="230">
        <v>0.03916</v>
      </c>
      <c r="I54" s="230">
        <f aca="true" t="shared" si="6" ref="I54">E54*H54</f>
        <v>0.17050264000000004</v>
      </c>
      <c r="J54" s="230"/>
      <c r="K54" s="230"/>
      <c r="L54" s="261"/>
      <c r="M54" s="261"/>
      <c r="N54" s="261"/>
      <c r="O54" s="261"/>
      <c r="P54" s="261"/>
      <c r="Q54" s="261"/>
      <c r="R54" s="261"/>
      <c r="T54" s="263"/>
    </row>
    <row r="55" spans="1:20" s="225" customFormat="1" ht="20.25" customHeight="1">
      <c r="A55" s="219"/>
      <c r="B55" s="220"/>
      <c r="C55" s="264" t="s">
        <v>943</v>
      </c>
      <c r="D55" s="221">
        <f>(13.6+12.1+5.4)*0.14</f>
        <v>4.354000000000001</v>
      </c>
      <c r="E55" s="265"/>
      <c r="F55" s="221"/>
      <c r="G55" s="222"/>
      <c r="H55" s="223"/>
      <c r="I55" s="223"/>
      <c r="J55" s="223"/>
      <c r="K55" s="223"/>
      <c r="L55" s="224"/>
      <c r="M55" s="224"/>
      <c r="N55" s="224"/>
      <c r="O55" s="224"/>
      <c r="P55" s="224"/>
      <c r="Q55" s="224"/>
      <c r="R55" s="224"/>
      <c r="T55" s="226"/>
    </row>
    <row r="56" spans="1:20" s="262" customFormat="1" ht="16.5" customHeight="1">
      <c r="A56" s="258" t="s">
        <v>144</v>
      </c>
      <c r="B56" s="227" t="s">
        <v>151</v>
      </c>
      <c r="C56" s="259" t="s">
        <v>128</v>
      </c>
      <c r="D56" s="260" t="s">
        <v>18</v>
      </c>
      <c r="E56" s="228">
        <f>SUM(E54)</f>
        <v>4.354000000000001</v>
      </c>
      <c r="F56" s="228"/>
      <c r="G56" s="218">
        <f aca="true" t="shared" si="7" ref="G56">$E56*F56</f>
        <v>0</v>
      </c>
      <c r="H56" s="230">
        <v>0</v>
      </c>
      <c r="I56" s="230">
        <f aca="true" t="shared" si="8" ref="I56">E56*H56</f>
        <v>0</v>
      </c>
      <c r="J56" s="230"/>
      <c r="K56" s="230"/>
      <c r="L56" s="261"/>
      <c r="M56" s="261"/>
      <c r="N56" s="261"/>
      <c r="O56" s="261"/>
      <c r="P56" s="261"/>
      <c r="Q56" s="261"/>
      <c r="R56" s="261"/>
      <c r="T56" s="263"/>
    </row>
    <row r="57" spans="1:20" s="256" customFormat="1" ht="13.5" thickBot="1">
      <c r="A57" s="270"/>
      <c r="B57" s="271"/>
      <c r="C57" s="272"/>
      <c r="D57" s="273"/>
      <c r="E57" s="236"/>
      <c r="F57" s="274"/>
      <c r="G57" s="275"/>
      <c r="H57" s="137"/>
      <c r="I57" s="137"/>
      <c r="J57" s="137"/>
      <c r="K57" s="137"/>
      <c r="L57" s="255"/>
      <c r="M57" s="255"/>
      <c r="N57" s="255"/>
      <c r="O57" s="255"/>
      <c r="P57" s="255"/>
      <c r="Q57" s="255"/>
      <c r="R57" s="255"/>
      <c r="T57" s="257"/>
    </row>
    <row r="58" spans="1:20" s="99" customFormat="1" ht="16.5" customHeight="1" thickBot="1">
      <c r="A58" s="237"/>
      <c r="B58" s="238"/>
      <c r="C58" s="239" t="s">
        <v>24</v>
      </c>
      <c r="D58" s="276"/>
      <c r="E58" s="277"/>
      <c r="F58" s="278"/>
      <c r="G58" s="243">
        <f>SUBTOTAL(9,G44:G57)</f>
        <v>0</v>
      </c>
      <c r="H58" s="119"/>
      <c r="I58" s="192">
        <f>SUM(I44:I57)</f>
        <v>122.61566559200001</v>
      </c>
      <c r="J58" s="119"/>
      <c r="K58" s="119"/>
      <c r="L58" s="98"/>
      <c r="M58" s="98"/>
      <c r="N58" s="98"/>
      <c r="O58" s="98"/>
      <c r="P58" s="98"/>
      <c r="Q58" s="98"/>
      <c r="R58" s="98"/>
      <c r="T58" s="100"/>
    </row>
    <row r="59" spans="1:20" s="99" customFormat="1" ht="13.5" customHeight="1" thickBot="1">
      <c r="A59" s="244"/>
      <c r="B59" s="245"/>
      <c r="C59" s="246"/>
      <c r="D59" s="279"/>
      <c r="E59" s="280"/>
      <c r="F59" s="281"/>
      <c r="G59" s="201"/>
      <c r="H59" s="119"/>
      <c r="I59" s="119"/>
      <c r="J59" s="119"/>
      <c r="K59" s="119"/>
      <c r="L59" s="98"/>
      <c r="M59" s="98"/>
      <c r="N59" s="98"/>
      <c r="O59" s="98"/>
      <c r="P59" s="98"/>
      <c r="Q59" s="98"/>
      <c r="R59" s="98"/>
      <c r="T59" s="100"/>
    </row>
    <row r="60" spans="1:20" s="210" customFormat="1" ht="16.5" customHeight="1" thickBot="1">
      <c r="A60" s="202" t="s">
        <v>13</v>
      </c>
      <c r="B60" s="203" t="s">
        <v>58</v>
      </c>
      <c r="C60" s="204" t="s">
        <v>80</v>
      </c>
      <c r="D60" s="205"/>
      <c r="E60" s="206"/>
      <c r="F60" s="207"/>
      <c r="G60" s="208"/>
      <c r="H60" s="192"/>
      <c r="I60" s="192"/>
      <c r="J60" s="192"/>
      <c r="K60" s="192"/>
      <c r="L60" s="209"/>
      <c r="M60" s="209"/>
      <c r="N60" s="209"/>
      <c r="O60" s="209"/>
      <c r="P60" s="209"/>
      <c r="Q60" s="209"/>
      <c r="R60" s="209"/>
      <c r="T60" s="211"/>
    </row>
    <row r="61" spans="1:20" s="79" customFormat="1" ht="12.75">
      <c r="A61" s="70"/>
      <c r="B61" s="71"/>
      <c r="C61" s="72"/>
      <c r="D61" s="73"/>
      <c r="E61" s="74"/>
      <c r="F61" s="75"/>
      <c r="G61" s="76"/>
      <c r="H61" s="77"/>
      <c r="I61" s="77"/>
      <c r="J61" s="77"/>
      <c r="K61" s="77"/>
      <c r="L61" s="78"/>
      <c r="M61" s="78"/>
      <c r="N61" s="78"/>
      <c r="O61" s="78"/>
      <c r="P61" s="78"/>
      <c r="Q61" s="78"/>
      <c r="R61" s="78"/>
      <c r="T61" s="80"/>
    </row>
    <row r="62" spans="1:20" s="59" customFormat="1" ht="18" customHeight="1">
      <c r="A62" s="12" t="s">
        <v>28</v>
      </c>
      <c r="B62" s="33" t="s">
        <v>55</v>
      </c>
      <c r="C62" s="14" t="s">
        <v>1029</v>
      </c>
      <c r="D62" s="15" t="s">
        <v>23</v>
      </c>
      <c r="E62" s="17">
        <f>SUM(D63)</f>
        <v>0.40602</v>
      </c>
      <c r="F62" s="17"/>
      <c r="G62" s="18">
        <f>$E62*F62</f>
        <v>0</v>
      </c>
      <c r="H62" s="19">
        <v>0.01954</v>
      </c>
      <c r="I62" s="19">
        <f>E62*H62</f>
        <v>0.007933630799999999</v>
      </c>
      <c r="J62" s="19"/>
      <c r="K62" s="37"/>
      <c r="L62" s="58"/>
      <c r="M62" s="20"/>
      <c r="N62" s="20"/>
      <c r="O62" s="20"/>
      <c r="P62" s="20"/>
      <c r="Q62" s="20"/>
      <c r="R62" s="20"/>
      <c r="T62" s="60"/>
    </row>
    <row r="63" spans="1:20" s="67" customFormat="1" ht="15.75" customHeight="1">
      <c r="A63" s="61"/>
      <c r="B63" s="220" t="s">
        <v>931</v>
      </c>
      <c r="C63" s="62" t="s">
        <v>153</v>
      </c>
      <c r="D63" s="26">
        <f>(337.68+68.34)*0.001</f>
        <v>0.40602</v>
      </c>
      <c r="E63" s="63"/>
      <c r="F63" s="63"/>
      <c r="G63" s="64"/>
      <c r="H63" s="65"/>
      <c r="I63" s="65"/>
      <c r="J63" s="65"/>
      <c r="K63" s="65"/>
      <c r="L63" s="66"/>
      <c r="M63" s="66"/>
      <c r="N63" s="66"/>
      <c r="O63" s="66"/>
      <c r="P63" s="66"/>
      <c r="Q63" s="66"/>
      <c r="R63" s="66"/>
      <c r="T63" s="68"/>
    </row>
    <row r="64" spans="1:20" s="262" customFormat="1" ht="19.5" customHeight="1">
      <c r="A64" s="258" t="s">
        <v>29</v>
      </c>
      <c r="B64" s="33" t="s">
        <v>54</v>
      </c>
      <c r="C64" s="259" t="s">
        <v>1028</v>
      </c>
      <c r="D64" s="260" t="s">
        <v>23</v>
      </c>
      <c r="E64" s="228">
        <f>SUM(D65)</f>
        <v>0.704</v>
      </c>
      <c r="F64" s="228"/>
      <c r="G64" s="218">
        <f>$E64*F64</f>
        <v>0</v>
      </c>
      <c r="H64" s="230">
        <v>0.01709</v>
      </c>
      <c r="I64" s="230">
        <f>E64*H64</f>
        <v>0.01203136</v>
      </c>
      <c r="J64" s="230"/>
      <c r="K64" s="230"/>
      <c r="L64" s="261"/>
      <c r="M64" s="261"/>
      <c r="N64" s="261"/>
      <c r="O64" s="261"/>
      <c r="P64" s="261"/>
      <c r="Q64" s="261"/>
      <c r="R64" s="261"/>
      <c r="T64" s="263"/>
    </row>
    <row r="65" spans="1:20" s="225" customFormat="1" ht="19.5" customHeight="1">
      <c r="A65" s="219"/>
      <c r="B65" s="220" t="s">
        <v>930</v>
      </c>
      <c r="C65" s="264" t="s">
        <v>152</v>
      </c>
      <c r="D65" s="221">
        <f>(508.8+57.6+137.6)*0.001</f>
        <v>0.704</v>
      </c>
      <c r="E65" s="265"/>
      <c r="F65" s="221"/>
      <c r="G65" s="222"/>
      <c r="H65" s="223"/>
      <c r="I65" s="223"/>
      <c r="J65" s="223"/>
      <c r="K65" s="223"/>
      <c r="L65" s="224"/>
      <c r="M65" s="224"/>
      <c r="N65" s="224"/>
      <c r="O65" s="224"/>
      <c r="P65" s="224"/>
      <c r="Q65" s="224"/>
      <c r="R65" s="224"/>
      <c r="T65" s="226"/>
    </row>
    <row r="66" spans="1:20" s="552" customFormat="1" ht="18.75" customHeight="1">
      <c r="A66" s="385" t="s">
        <v>30</v>
      </c>
      <c r="B66" s="545"/>
      <c r="C66" s="546" t="s">
        <v>116</v>
      </c>
      <c r="D66" s="547" t="s">
        <v>104</v>
      </c>
      <c r="E66" s="548">
        <f>SUM(E67:E71)</f>
        <v>1110.02</v>
      </c>
      <c r="F66" s="549"/>
      <c r="G66" s="34">
        <f aca="true" t="shared" si="9" ref="G66:G73">$E66*F66</f>
        <v>0</v>
      </c>
      <c r="H66" s="230">
        <v>0.001</v>
      </c>
      <c r="I66" s="230">
        <f>E66*H66</f>
        <v>1.11002</v>
      </c>
      <c r="J66" s="550"/>
      <c r="K66" s="550"/>
      <c r="L66" s="551"/>
      <c r="M66" s="551"/>
      <c r="N66" s="551"/>
      <c r="O66" s="551"/>
      <c r="P66" s="551"/>
      <c r="Q66" s="551"/>
      <c r="R66" s="551"/>
      <c r="T66" s="553"/>
    </row>
    <row r="67" spans="1:20" s="256" customFormat="1" ht="18.75" customHeight="1">
      <c r="A67" s="301" t="s">
        <v>897</v>
      </c>
      <c r="B67" s="331" t="s">
        <v>79</v>
      </c>
      <c r="C67" s="332" t="s">
        <v>122</v>
      </c>
      <c r="D67" s="333" t="s">
        <v>104</v>
      </c>
      <c r="E67" s="334">
        <v>508.8</v>
      </c>
      <c r="F67" s="335"/>
      <c r="G67" s="34"/>
      <c r="H67" s="283"/>
      <c r="I67" s="283"/>
      <c r="J67" s="283"/>
      <c r="K67" s="283"/>
      <c r="L67" s="255"/>
      <c r="M67" s="255"/>
      <c r="N67" s="255"/>
      <c r="O67" s="255"/>
      <c r="P67" s="255"/>
      <c r="Q67" s="255"/>
      <c r="R67" s="255"/>
      <c r="T67" s="257"/>
    </row>
    <row r="68" spans="1:20" s="256" customFormat="1" ht="18.75" customHeight="1">
      <c r="A68" s="301" t="s">
        <v>898</v>
      </c>
      <c r="B68" s="331" t="s">
        <v>79</v>
      </c>
      <c r="C68" s="332" t="s">
        <v>114</v>
      </c>
      <c r="D68" s="333" t="s">
        <v>104</v>
      </c>
      <c r="E68" s="334">
        <v>57.6</v>
      </c>
      <c r="F68" s="335"/>
      <c r="G68" s="34"/>
      <c r="H68" s="283"/>
      <c r="I68" s="283"/>
      <c r="J68" s="283"/>
      <c r="K68" s="283"/>
      <c r="L68" s="255"/>
      <c r="M68" s="255"/>
      <c r="N68" s="255"/>
      <c r="O68" s="255"/>
      <c r="P68" s="255"/>
      <c r="Q68" s="255"/>
      <c r="R68" s="255"/>
      <c r="T68" s="257"/>
    </row>
    <row r="69" spans="1:20" s="256" customFormat="1" ht="18.75" customHeight="1">
      <c r="A69" s="301" t="s">
        <v>899</v>
      </c>
      <c r="B69" s="331" t="s">
        <v>79</v>
      </c>
      <c r="C69" s="332" t="s">
        <v>115</v>
      </c>
      <c r="D69" s="333" t="s">
        <v>104</v>
      </c>
      <c r="E69" s="334">
        <v>137.6</v>
      </c>
      <c r="F69" s="335"/>
      <c r="G69" s="34"/>
      <c r="H69" s="283"/>
      <c r="I69" s="283"/>
      <c r="J69" s="283"/>
      <c r="K69" s="283"/>
      <c r="L69" s="255"/>
      <c r="M69" s="255"/>
      <c r="N69" s="255"/>
      <c r="O69" s="255"/>
      <c r="P69" s="255"/>
      <c r="Q69" s="255"/>
      <c r="R69" s="255"/>
      <c r="T69" s="257"/>
    </row>
    <row r="70" spans="1:20" s="256" customFormat="1" ht="18.75" customHeight="1">
      <c r="A70" s="301" t="s">
        <v>900</v>
      </c>
      <c r="B70" s="331" t="s">
        <v>121</v>
      </c>
      <c r="C70" s="332" t="s">
        <v>123</v>
      </c>
      <c r="D70" s="333" t="s">
        <v>104</v>
      </c>
      <c r="E70" s="334">
        <v>337.68</v>
      </c>
      <c r="F70" s="335"/>
      <c r="G70" s="34"/>
      <c r="H70" s="283"/>
      <c r="I70" s="283"/>
      <c r="J70" s="283"/>
      <c r="K70" s="283"/>
      <c r="L70" s="255"/>
      <c r="M70" s="255"/>
      <c r="N70" s="255"/>
      <c r="O70" s="255"/>
      <c r="P70" s="255"/>
      <c r="Q70" s="255"/>
      <c r="R70" s="255"/>
      <c r="T70" s="257"/>
    </row>
    <row r="71" spans="1:20" s="256" customFormat="1" ht="18.75" customHeight="1">
      <c r="A71" s="301" t="s">
        <v>901</v>
      </c>
      <c r="B71" s="331" t="s">
        <v>121</v>
      </c>
      <c r="C71" s="332" t="s">
        <v>124</v>
      </c>
      <c r="D71" s="333" t="s">
        <v>104</v>
      </c>
      <c r="E71" s="334">
        <v>68.34</v>
      </c>
      <c r="F71" s="335"/>
      <c r="G71" s="34"/>
      <c r="H71" s="283"/>
      <c r="I71" s="283"/>
      <c r="J71" s="283"/>
      <c r="K71" s="283"/>
      <c r="L71" s="255"/>
      <c r="M71" s="255"/>
      <c r="N71" s="255"/>
      <c r="O71" s="255"/>
      <c r="P71" s="255"/>
      <c r="Q71" s="255"/>
      <c r="R71" s="255"/>
      <c r="T71" s="257"/>
    </row>
    <row r="72" spans="1:20" s="256" customFormat="1" ht="33.75" customHeight="1">
      <c r="A72" s="301" t="s">
        <v>902</v>
      </c>
      <c r="B72" s="331" t="s">
        <v>154</v>
      </c>
      <c r="C72" s="332" t="s">
        <v>131</v>
      </c>
      <c r="D72" s="333" t="s">
        <v>20</v>
      </c>
      <c r="E72" s="334">
        <v>28</v>
      </c>
      <c r="F72" s="335"/>
      <c r="G72" s="34">
        <f t="shared" si="9"/>
        <v>0</v>
      </c>
      <c r="H72" s="283"/>
      <c r="I72" s="283"/>
      <c r="J72" s="283"/>
      <c r="K72" s="283"/>
      <c r="L72" s="255"/>
      <c r="M72" s="255"/>
      <c r="N72" s="255"/>
      <c r="O72" s="255"/>
      <c r="P72" s="255"/>
      <c r="Q72" s="255"/>
      <c r="R72" s="255"/>
      <c r="T72" s="257"/>
    </row>
    <row r="73" spans="1:20" s="256" customFormat="1" ht="21" customHeight="1">
      <c r="A73" s="301" t="s">
        <v>37</v>
      </c>
      <c r="B73" s="557" t="s">
        <v>173</v>
      </c>
      <c r="C73" s="558" t="s">
        <v>1027</v>
      </c>
      <c r="D73" s="559" t="s">
        <v>18</v>
      </c>
      <c r="E73" s="17">
        <f>SUM(D74)</f>
        <v>36.202000000000005</v>
      </c>
      <c r="F73" s="663"/>
      <c r="G73" s="34">
        <f t="shared" si="9"/>
        <v>0</v>
      </c>
      <c r="H73" s="283"/>
      <c r="I73" s="283"/>
      <c r="J73" s="283"/>
      <c r="K73" s="283"/>
      <c r="L73" s="255"/>
      <c r="M73" s="255"/>
      <c r="N73" s="255"/>
      <c r="O73" s="255"/>
      <c r="P73" s="255"/>
      <c r="Q73" s="255"/>
      <c r="R73" s="255"/>
      <c r="T73" s="257"/>
    </row>
    <row r="74" spans="1:20" s="225" customFormat="1" ht="19.5" customHeight="1">
      <c r="A74" s="219"/>
      <c r="B74" s="220"/>
      <c r="C74" s="264" t="s">
        <v>174</v>
      </c>
      <c r="D74" s="221">
        <f>44*0.52+30.3*0.44-0.01</f>
        <v>36.202000000000005</v>
      </c>
      <c r="E74" s="265"/>
      <c r="F74" s="221"/>
      <c r="G74" s="222"/>
      <c r="H74" s="223"/>
      <c r="I74" s="223"/>
      <c r="J74" s="223"/>
      <c r="K74" s="223"/>
      <c r="L74" s="224"/>
      <c r="M74" s="224"/>
      <c r="N74" s="224"/>
      <c r="O74" s="224"/>
      <c r="P74" s="224"/>
      <c r="Q74" s="224"/>
      <c r="R74" s="224"/>
      <c r="T74" s="226"/>
    </row>
    <row r="75" spans="1:20" s="79" customFormat="1" ht="17.25" customHeight="1" thickBot="1">
      <c r="A75" s="81"/>
      <c r="B75" s="82"/>
      <c r="C75" s="83"/>
      <c r="D75" s="84"/>
      <c r="E75" s="85"/>
      <c r="F75" s="86"/>
      <c r="G75" s="87"/>
      <c r="H75" s="77"/>
      <c r="I75" s="77"/>
      <c r="J75" s="77"/>
      <c r="K75" s="77"/>
      <c r="L75" s="78"/>
      <c r="M75" s="78"/>
      <c r="N75" s="78"/>
      <c r="O75" s="78"/>
      <c r="P75" s="78"/>
      <c r="Q75" s="78"/>
      <c r="R75" s="78"/>
      <c r="T75" s="80"/>
    </row>
    <row r="76" spans="1:20" s="99" customFormat="1" ht="16.5" customHeight="1" thickBot="1">
      <c r="A76" s="237"/>
      <c r="B76" s="238"/>
      <c r="C76" s="239"/>
      <c r="D76" s="240"/>
      <c r="E76" s="282"/>
      <c r="F76" s="278"/>
      <c r="G76" s="243">
        <f>SUBTOTAL(9,G61:G75)</f>
        <v>0</v>
      </c>
      <c r="H76" s="283"/>
      <c r="I76" s="284">
        <f>SUM(I61:I75)</f>
        <v>1.1299849908</v>
      </c>
      <c r="J76" s="283"/>
      <c r="K76" s="283"/>
      <c r="L76" s="98"/>
      <c r="M76" s="98"/>
      <c r="N76" s="98"/>
      <c r="O76" s="98"/>
      <c r="P76" s="98"/>
      <c r="Q76" s="98"/>
      <c r="R76" s="98"/>
      <c r="T76" s="100"/>
    </row>
    <row r="77" spans="1:20" s="99" customFormat="1" ht="13.7" customHeight="1" thickBot="1">
      <c r="A77" s="244"/>
      <c r="B77" s="245"/>
      <c r="C77" s="246"/>
      <c r="D77" s="246"/>
      <c r="E77" s="285"/>
      <c r="F77" s="281"/>
      <c r="G77" s="201"/>
      <c r="H77" s="283"/>
      <c r="I77" s="283"/>
      <c r="J77" s="283"/>
      <c r="K77" s="283"/>
      <c r="L77" s="98"/>
      <c r="M77" s="98"/>
      <c r="N77" s="98"/>
      <c r="O77" s="98"/>
      <c r="P77" s="98"/>
      <c r="Q77" s="98"/>
      <c r="R77" s="98"/>
      <c r="T77" s="100"/>
    </row>
    <row r="78" spans="1:20" s="210" customFormat="1" ht="16.5" customHeight="1" thickBot="1">
      <c r="A78" s="202" t="s">
        <v>27</v>
      </c>
      <c r="B78" s="203" t="s">
        <v>59</v>
      </c>
      <c r="C78" s="204" t="s">
        <v>60</v>
      </c>
      <c r="D78" s="205"/>
      <c r="E78" s="206"/>
      <c r="F78" s="207"/>
      <c r="G78" s="208"/>
      <c r="H78" s="192"/>
      <c r="I78" s="192"/>
      <c r="J78" s="192"/>
      <c r="K78" s="192"/>
      <c r="L78" s="209"/>
      <c r="M78" s="209"/>
      <c r="N78" s="209"/>
      <c r="O78" s="209"/>
      <c r="P78" s="209"/>
      <c r="Q78" s="209"/>
      <c r="R78" s="209"/>
      <c r="T78" s="211"/>
    </row>
    <row r="79" spans="1:20" s="99" customFormat="1" ht="12.75">
      <c r="A79" s="212"/>
      <c r="B79" s="299"/>
      <c r="C79" s="213"/>
      <c r="D79" s="214"/>
      <c r="E79" s="287"/>
      <c r="F79" s="216"/>
      <c r="G79" s="300"/>
      <c r="H79" s="283"/>
      <c r="I79" s="283"/>
      <c r="J79" s="283"/>
      <c r="K79" s="283"/>
      <c r="L79" s="98"/>
      <c r="M79" s="98"/>
      <c r="N79" s="98"/>
      <c r="O79" s="98"/>
      <c r="P79" s="98"/>
      <c r="Q79" s="98"/>
      <c r="R79" s="98"/>
      <c r="T79" s="100"/>
    </row>
    <row r="80" spans="1:20" s="268" customFormat="1" ht="32.25" customHeight="1">
      <c r="A80" s="258" t="s">
        <v>38</v>
      </c>
      <c r="B80" s="227" t="s">
        <v>155</v>
      </c>
      <c r="C80" s="259" t="s">
        <v>156</v>
      </c>
      <c r="D80" s="228" t="s">
        <v>18</v>
      </c>
      <c r="E80" s="228">
        <f>SUM(D81)</f>
        <v>16.36525</v>
      </c>
      <c r="F80" s="228"/>
      <c r="G80" s="34">
        <f>$E80*F80</f>
        <v>0</v>
      </c>
      <c r="H80" s="230">
        <v>0.0504</v>
      </c>
      <c r="I80" s="230">
        <f>E80*H80</f>
        <v>0.8248086</v>
      </c>
      <c r="J80" s="383"/>
      <c r="K80" s="383"/>
      <c r="L80" s="384"/>
      <c r="M80" s="384"/>
      <c r="N80" s="384"/>
      <c r="O80" s="384"/>
      <c r="P80" s="384"/>
      <c r="Q80" s="384"/>
      <c r="R80" s="384"/>
      <c r="T80" s="269"/>
    </row>
    <row r="81" spans="1:20" s="289" customFormat="1" ht="31.5" customHeight="1">
      <c r="A81" s="219"/>
      <c r="B81" s="220" t="s">
        <v>126</v>
      </c>
      <c r="C81" s="264" t="s">
        <v>125</v>
      </c>
      <c r="D81" s="221">
        <f>((0.845+0.24)/2)*13.1+0.24*3.4+0.12*8.4+6.8*0.12+12.2*((0.845+0.24)/2)</f>
        <v>16.36525</v>
      </c>
      <c r="E81" s="265"/>
      <c r="F81" s="221"/>
      <c r="G81" s="222"/>
      <c r="H81" s="223"/>
      <c r="I81" s="223"/>
      <c r="J81" s="223"/>
      <c r="K81" s="223"/>
      <c r="L81" s="288"/>
      <c r="M81" s="288"/>
      <c r="N81" s="288"/>
      <c r="O81" s="288"/>
      <c r="P81" s="288"/>
      <c r="Q81" s="288"/>
      <c r="R81" s="288"/>
      <c r="T81" s="290"/>
    </row>
    <row r="82" spans="1:20" s="99" customFormat="1" ht="13.5" thickBot="1">
      <c r="A82" s="270"/>
      <c r="B82" s="271"/>
      <c r="C82" s="272"/>
      <c r="D82" s="271"/>
      <c r="E82" s="291"/>
      <c r="F82" s="292"/>
      <c r="G82" s="275"/>
      <c r="H82" s="283"/>
      <c r="I82" s="283"/>
      <c r="J82" s="283"/>
      <c r="K82" s="283"/>
      <c r="L82" s="98"/>
      <c r="M82" s="98"/>
      <c r="N82" s="98"/>
      <c r="O82" s="98"/>
      <c r="P82" s="98"/>
      <c r="Q82" s="98"/>
      <c r="R82" s="98"/>
      <c r="T82" s="100"/>
    </row>
    <row r="83" spans="1:20" s="297" customFormat="1" ht="16.5" customHeight="1" thickBot="1">
      <c r="A83" s="293"/>
      <c r="B83" s="294"/>
      <c r="C83" s="239" t="s">
        <v>24</v>
      </c>
      <c r="D83" s="295"/>
      <c r="E83" s="296"/>
      <c r="F83" s="242"/>
      <c r="G83" s="243">
        <f>SUBTOTAL(9,G79:G82)</f>
        <v>0</v>
      </c>
      <c r="H83" s="283"/>
      <c r="I83" s="254">
        <f>SUM(I79:I82)</f>
        <v>0.8248086</v>
      </c>
      <c r="J83" s="283"/>
      <c r="K83" s="283"/>
      <c r="L83" s="98"/>
      <c r="M83" s="98"/>
      <c r="N83" s="98"/>
      <c r="O83" s="98"/>
      <c r="P83" s="98"/>
      <c r="Q83" s="98"/>
      <c r="R83" s="98"/>
      <c r="T83" s="298"/>
    </row>
    <row r="84" spans="1:20" s="99" customFormat="1" ht="13.7" customHeight="1" thickBot="1">
      <c r="A84" s="244"/>
      <c r="B84" s="245"/>
      <c r="C84" s="246"/>
      <c r="D84" s="246"/>
      <c r="E84" s="285"/>
      <c r="F84" s="200"/>
      <c r="G84" s="201"/>
      <c r="H84" s="283"/>
      <c r="I84" s="283"/>
      <c r="J84" s="283"/>
      <c r="K84" s="283"/>
      <c r="L84" s="98"/>
      <c r="M84" s="98"/>
      <c r="N84" s="98"/>
      <c r="O84" s="98"/>
      <c r="P84" s="98"/>
      <c r="Q84" s="98"/>
      <c r="R84" s="98"/>
      <c r="T84" s="100"/>
    </row>
    <row r="85" spans="1:20" s="210" customFormat="1" ht="16.5" customHeight="1" thickBot="1">
      <c r="A85" s="202" t="s">
        <v>39</v>
      </c>
      <c r="B85" s="203" t="s">
        <v>61</v>
      </c>
      <c r="C85" s="204" t="s">
        <v>62</v>
      </c>
      <c r="D85" s="205"/>
      <c r="E85" s="206"/>
      <c r="F85" s="207"/>
      <c r="G85" s="208"/>
      <c r="H85" s="192"/>
      <c r="I85" s="192"/>
      <c r="J85" s="192"/>
      <c r="K85" s="192"/>
      <c r="L85" s="209"/>
      <c r="M85" s="209"/>
      <c r="N85" s="209"/>
      <c r="O85" s="209"/>
      <c r="P85" s="209"/>
      <c r="Q85" s="209"/>
      <c r="R85" s="209"/>
      <c r="T85" s="211"/>
    </row>
    <row r="86" spans="1:20" s="99" customFormat="1" ht="12" customHeight="1">
      <c r="A86" s="303"/>
      <c r="B86" s="304"/>
      <c r="C86" s="305"/>
      <c r="D86" s="306"/>
      <c r="E86" s="307"/>
      <c r="F86" s="216"/>
      <c r="G86" s="217"/>
      <c r="H86" s="112"/>
      <c r="I86" s="112"/>
      <c r="J86" s="112"/>
      <c r="K86" s="112"/>
      <c r="L86" s="98"/>
      <c r="M86" s="98"/>
      <c r="N86" s="98"/>
      <c r="O86" s="98"/>
      <c r="P86" s="98"/>
      <c r="Q86" s="98"/>
      <c r="R86" s="98"/>
      <c r="T86" s="100"/>
    </row>
    <row r="87" spans="1:20" s="256" customFormat="1" ht="27.75" customHeight="1">
      <c r="A87" s="47" t="s">
        <v>40</v>
      </c>
      <c r="B87" s="331" t="s">
        <v>1020</v>
      </c>
      <c r="C87" s="332" t="s">
        <v>1022</v>
      </c>
      <c r="D87" s="309" t="s">
        <v>23</v>
      </c>
      <c r="E87" s="310">
        <f>I87</f>
        <v>124.6170591828</v>
      </c>
      <c r="F87" s="310"/>
      <c r="G87" s="34">
        <f aca="true" t="shared" si="10" ref="G87">$E87*F87</f>
        <v>0</v>
      </c>
      <c r="H87" s="311">
        <v>0</v>
      </c>
      <c r="I87" s="554">
        <f>I83+I76+I58+I37</f>
        <v>124.6170591828</v>
      </c>
      <c r="J87" s="311"/>
      <c r="K87" s="311"/>
      <c r="L87" s="255"/>
      <c r="M87" s="255"/>
      <c r="N87" s="255"/>
      <c r="O87" s="255"/>
      <c r="P87" s="255"/>
      <c r="Q87" s="255"/>
      <c r="R87" s="255"/>
      <c r="T87" s="257"/>
    </row>
    <row r="88" spans="1:20" s="256" customFormat="1" ht="12" customHeight="1" thickBot="1">
      <c r="A88" s="270"/>
      <c r="B88" s="316"/>
      <c r="C88" s="272"/>
      <c r="D88" s="273"/>
      <c r="E88" s="317"/>
      <c r="F88" s="292"/>
      <c r="G88" s="275"/>
      <c r="H88" s="283"/>
      <c r="I88" s="283"/>
      <c r="J88" s="283"/>
      <c r="K88" s="283"/>
      <c r="L88" s="255"/>
      <c r="M88" s="255"/>
      <c r="N88" s="255"/>
      <c r="O88" s="255"/>
      <c r="P88" s="255"/>
      <c r="Q88" s="255"/>
      <c r="R88" s="255"/>
      <c r="T88" s="257"/>
    </row>
    <row r="89" spans="1:20" s="99" customFormat="1" ht="16.5" customHeight="1" thickBot="1">
      <c r="A89" s="318"/>
      <c r="B89" s="319"/>
      <c r="C89" s="239" t="s">
        <v>24</v>
      </c>
      <c r="D89" s="240"/>
      <c r="E89" s="320"/>
      <c r="F89" s="242"/>
      <c r="G89" s="89">
        <f>SUBTOTAL(9,G86:G88)</f>
        <v>0</v>
      </c>
      <c r="H89" s="112"/>
      <c r="I89" s="112"/>
      <c r="J89" s="112"/>
      <c r="K89" s="112"/>
      <c r="L89" s="98"/>
      <c r="M89" s="98"/>
      <c r="N89" s="98"/>
      <c r="O89" s="98"/>
      <c r="P89" s="98"/>
      <c r="Q89" s="98"/>
      <c r="R89" s="98"/>
      <c r="T89" s="100"/>
    </row>
    <row r="90" spans="1:20" s="99" customFormat="1" ht="13.7" customHeight="1" thickBot="1">
      <c r="A90" s="321"/>
      <c r="B90" s="279"/>
      <c r="C90" s="246"/>
      <c r="D90" s="246"/>
      <c r="E90" s="322"/>
      <c r="F90" s="200"/>
      <c r="G90" s="201"/>
      <c r="H90" s="112"/>
      <c r="I90" s="112"/>
      <c r="J90" s="112"/>
      <c r="K90" s="112"/>
      <c r="L90" s="98"/>
      <c r="M90" s="98"/>
      <c r="N90" s="98"/>
      <c r="O90" s="98"/>
      <c r="P90" s="98"/>
      <c r="Q90" s="98"/>
      <c r="R90" s="98"/>
      <c r="T90" s="100"/>
    </row>
    <row r="91" spans="1:20" s="210" customFormat="1" ht="16.5" customHeight="1" thickBot="1">
      <c r="A91" s="202" t="s">
        <v>41</v>
      </c>
      <c r="B91" s="203" t="s">
        <v>63</v>
      </c>
      <c r="C91" s="204" t="s">
        <v>64</v>
      </c>
      <c r="D91" s="205"/>
      <c r="E91" s="206"/>
      <c r="F91" s="207"/>
      <c r="G91" s="208"/>
      <c r="H91" s="192"/>
      <c r="I91" s="192"/>
      <c r="J91" s="192"/>
      <c r="K91" s="192"/>
      <c r="L91" s="209"/>
      <c r="M91" s="209"/>
      <c r="N91" s="209"/>
      <c r="O91" s="209"/>
      <c r="P91" s="209"/>
      <c r="Q91" s="209"/>
      <c r="R91" s="209"/>
      <c r="T91" s="211"/>
    </row>
    <row r="92" spans="1:20" s="99" customFormat="1" ht="12" customHeight="1">
      <c r="A92" s="303"/>
      <c r="B92" s="304"/>
      <c r="C92" s="305"/>
      <c r="D92" s="306"/>
      <c r="E92" s="328"/>
      <c r="F92" s="329"/>
      <c r="G92" s="330"/>
      <c r="H92" s="112"/>
      <c r="I92" s="112"/>
      <c r="J92" s="112"/>
      <c r="K92" s="112"/>
      <c r="L92" s="98"/>
      <c r="M92" s="98"/>
      <c r="N92" s="98"/>
      <c r="O92" s="98"/>
      <c r="P92" s="98"/>
      <c r="Q92" s="98"/>
      <c r="R92" s="98"/>
      <c r="T92" s="100"/>
    </row>
    <row r="93" spans="1:20" s="552" customFormat="1" ht="18.75" customHeight="1">
      <c r="A93" s="555" t="s">
        <v>42</v>
      </c>
      <c r="B93" s="545" t="s">
        <v>170</v>
      </c>
      <c r="C93" s="546" t="s">
        <v>932</v>
      </c>
      <c r="D93" s="547"/>
      <c r="E93" s="548">
        <f>SUM(E94:E101)</f>
        <v>931.526</v>
      </c>
      <c r="F93" s="549"/>
      <c r="G93" s="34">
        <f>$E93*F93</f>
        <v>0</v>
      </c>
      <c r="H93" s="230">
        <v>0.001</v>
      </c>
      <c r="I93" s="230">
        <f>E93*H93</f>
        <v>0.931526</v>
      </c>
      <c r="J93" s="550"/>
      <c r="K93" s="550"/>
      <c r="L93" s="551"/>
      <c r="M93" s="551"/>
      <c r="N93" s="551"/>
      <c r="O93" s="551"/>
      <c r="P93" s="551"/>
      <c r="Q93" s="551"/>
      <c r="R93" s="551"/>
      <c r="T93" s="553"/>
    </row>
    <row r="94" spans="1:20" s="256" customFormat="1" ht="18.75" customHeight="1">
      <c r="A94" s="301" t="s">
        <v>158</v>
      </c>
      <c r="B94" s="331"/>
      <c r="C94" s="332" t="s">
        <v>106</v>
      </c>
      <c r="D94" s="333" t="s">
        <v>104</v>
      </c>
      <c r="E94" s="334">
        <v>104.404</v>
      </c>
      <c r="F94" s="335"/>
      <c r="G94" s="34"/>
      <c r="H94" s="283"/>
      <c r="I94" s="283"/>
      <c r="J94" s="283"/>
      <c r="K94" s="283"/>
      <c r="L94" s="255"/>
      <c r="M94" s="255"/>
      <c r="N94" s="255"/>
      <c r="O94" s="255"/>
      <c r="P94" s="255"/>
      <c r="Q94" s="255"/>
      <c r="R94" s="255"/>
      <c r="T94" s="257"/>
    </row>
    <row r="95" spans="1:20" s="256" customFormat="1" ht="18.75" customHeight="1">
      <c r="A95" s="301" t="s">
        <v>159</v>
      </c>
      <c r="B95" s="331"/>
      <c r="C95" s="332" t="s">
        <v>105</v>
      </c>
      <c r="D95" s="333" t="s">
        <v>104</v>
      </c>
      <c r="E95" s="334">
        <v>241.674</v>
      </c>
      <c r="F95" s="335"/>
      <c r="G95" s="34"/>
      <c r="H95" s="283"/>
      <c r="I95" s="283"/>
      <c r="J95" s="283"/>
      <c r="K95" s="283"/>
      <c r="L95" s="255"/>
      <c r="M95" s="255"/>
      <c r="N95" s="255"/>
      <c r="O95" s="255"/>
      <c r="P95" s="255"/>
      <c r="Q95" s="255"/>
      <c r="R95" s="255"/>
      <c r="T95" s="257"/>
    </row>
    <row r="96" spans="1:20" s="256" customFormat="1" ht="18.75" customHeight="1">
      <c r="A96" s="301" t="s">
        <v>160</v>
      </c>
      <c r="B96" s="331"/>
      <c r="C96" s="332" t="s">
        <v>107</v>
      </c>
      <c r="D96" s="333" t="s">
        <v>104</v>
      </c>
      <c r="E96" s="334">
        <v>68.264</v>
      </c>
      <c r="F96" s="335"/>
      <c r="G96" s="34"/>
      <c r="H96" s="283"/>
      <c r="I96" s="283"/>
      <c r="J96" s="283"/>
      <c r="K96" s="283"/>
      <c r="L96" s="255"/>
      <c r="M96" s="255"/>
      <c r="N96" s="255"/>
      <c r="O96" s="255"/>
      <c r="P96" s="255"/>
      <c r="Q96" s="255"/>
      <c r="R96" s="255"/>
      <c r="T96" s="257"/>
    </row>
    <row r="97" spans="1:20" s="256" customFormat="1" ht="18.75" customHeight="1">
      <c r="A97" s="301" t="s">
        <v>161</v>
      </c>
      <c r="B97" s="331"/>
      <c r="C97" s="332" t="s">
        <v>108</v>
      </c>
      <c r="D97" s="333" t="s">
        <v>104</v>
      </c>
      <c r="E97" s="334">
        <v>158.654</v>
      </c>
      <c r="F97" s="335"/>
      <c r="G97" s="34"/>
      <c r="H97" s="283"/>
      <c r="I97" s="283"/>
      <c r="J97" s="283"/>
      <c r="K97" s="283"/>
      <c r="L97" s="255"/>
      <c r="M97" s="255"/>
      <c r="N97" s="255"/>
      <c r="O97" s="255"/>
      <c r="P97" s="255"/>
      <c r="Q97" s="255"/>
      <c r="R97" s="255"/>
      <c r="T97" s="257"/>
    </row>
    <row r="98" spans="1:20" s="256" customFormat="1" ht="18.75" customHeight="1">
      <c r="A98" s="301" t="s">
        <v>162</v>
      </c>
      <c r="B98" s="331"/>
      <c r="C98" s="332" t="s">
        <v>109</v>
      </c>
      <c r="D98" s="333" t="s">
        <v>104</v>
      </c>
      <c r="E98" s="334">
        <v>222.11</v>
      </c>
      <c r="F98" s="335"/>
      <c r="G98" s="34"/>
      <c r="H98" s="283"/>
      <c r="I98" s="283"/>
      <c r="J98" s="283"/>
      <c r="K98" s="283"/>
      <c r="L98" s="255"/>
      <c r="M98" s="255"/>
      <c r="N98" s="255"/>
      <c r="O98" s="255"/>
      <c r="P98" s="255"/>
      <c r="Q98" s="255"/>
      <c r="R98" s="255"/>
      <c r="T98" s="257"/>
    </row>
    <row r="99" spans="1:20" s="256" customFormat="1" ht="18.75" customHeight="1">
      <c r="A99" s="301" t="s">
        <v>163</v>
      </c>
      <c r="B99" s="331"/>
      <c r="C99" s="332" t="s">
        <v>110</v>
      </c>
      <c r="D99" s="333" t="s">
        <v>104</v>
      </c>
      <c r="E99" s="334">
        <v>5.53</v>
      </c>
      <c r="F99" s="335"/>
      <c r="G99" s="34"/>
      <c r="H99" s="283"/>
      <c r="I99" s="283"/>
      <c r="J99" s="283"/>
      <c r="K99" s="283"/>
      <c r="L99" s="255"/>
      <c r="M99" s="255"/>
      <c r="N99" s="255"/>
      <c r="O99" s="255"/>
      <c r="P99" s="255"/>
      <c r="Q99" s="255"/>
      <c r="R99" s="255"/>
      <c r="T99" s="257"/>
    </row>
    <row r="100" spans="1:20" s="256" customFormat="1" ht="18.75" customHeight="1">
      <c r="A100" s="301" t="s">
        <v>164</v>
      </c>
      <c r="B100" s="331"/>
      <c r="C100" s="332" t="s">
        <v>111</v>
      </c>
      <c r="D100" s="333" t="s">
        <v>104</v>
      </c>
      <c r="E100" s="334">
        <v>128.21</v>
      </c>
      <c r="F100" s="335"/>
      <c r="G100" s="34"/>
      <c r="H100" s="283"/>
      <c r="I100" s="283"/>
      <c r="J100" s="283"/>
      <c r="K100" s="283"/>
      <c r="L100" s="255"/>
      <c r="M100" s="255"/>
      <c r="N100" s="255"/>
      <c r="O100" s="255"/>
      <c r="P100" s="255"/>
      <c r="Q100" s="255"/>
      <c r="R100" s="255"/>
      <c r="T100" s="257"/>
    </row>
    <row r="101" spans="1:20" s="256" customFormat="1" ht="18.75" customHeight="1">
      <c r="A101" s="301" t="s">
        <v>165</v>
      </c>
      <c r="B101" s="331"/>
      <c r="C101" s="332" t="s">
        <v>112</v>
      </c>
      <c r="D101" s="333" t="s">
        <v>113</v>
      </c>
      <c r="E101" s="334">
        <v>2.68</v>
      </c>
      <c r="F101" s="335"/>
      <c r="G101" s="34"/>
      <c r="H101" s="283"/>
      <c r="I101" s="283"/>
      <c r="J101" s="283"/>
      <c r="K101" s="283"/>
      <c r="L101" s="255"/>
      <c r="M101" s="255"/>
      <c r="N101" s="255"/>
      <c r="O101" s="255"/>
      <c r="P101" s="255"/>
      <c r="Q101" s="255"/>
      <c r="R101" s="255"/>
      <c r="T101" s="257"/>
    </row>
    <row r="102" spans="1:20" s="256" customFormat="1" ht="19.5" customHeight="1">
      <c r="A102" s="301" t="s">
        <v>43</v>
      </c>
      <c r="B102" s="331"/>
      <c r="C102" s="332" t="s">
        <v>933</v>
      </c>
      <c r="D102" s="333" t="s">
        <v>50</v>
      </c>
      <c r="E102" s="334">
        <v>1</v>
      </c>
      <c r="F102" s="335"/>
      <c r="G102" s="34">
        <f>$E102*F102</f>
        <v>0</v>
      </c>
      <c r="H102" s="283"/>
      <c r="I102" s="283"/>
      <c r="J102" s="283"/>
      <c r="K102" s="283"/>
      <c r="L102" s="255"/>
      <c r="M102" s="255"/>
      <c r="N102" s="255"/>
      <c r="O102" s="255"/>
      <c r="P102" s="255"/>
      <c r="Q102" s="255"/>
      <c r="R102" s="255"/>
      <c r="T102" s="257"/>
    </row>
    <row r="103" spans="1:20" s="256" customFormat="1" ht="18" customHeight="1">
      <c r="A103" s="301" t="s">
        <v>230</v>
      </c>
      <c r="B103" s="331">
        <v>998767101</v>
      </c>
      <c r="C103" s="332" t="s">
        <v>1012</v>
      </c>
      <c r="D103" s="333" t="s">
        <v>23</v>
      </c>
      <c r="E103" s="334">
        <f>I105</f>
        <v>0.931526</v>
      </c>
      <c r="F103" s="335"/>
      <c r="G103" s="34">
        <f>$E103*F103</f>
        <v>0</v>
      </c>
      <c r="H103" s="283"/>
      <c r="I103" s="283"/>
      <c r="J103" s="283"/>
      <c r="K103" s="283"/>
      <c r="L103" s="255"/>
      <c r="M103" s="255"/>
      <c r="N103" s="255"/>
      <c r="O103" s="255"/>
      <c r="P103" s="255"/>
      <c r="Q103" s="255"/>
      <c r="R103" s="255"/>
      <c r="T103" s="257"/>
    </row>
    <row r="104" spans="1:20" s="99" customFormat="1" ht="12" customHeight="1" thickBot="1">
      <c r="A104" s="180"/>
      <c r="B104" s="323"/>
      <c r="C104" s="234"/>
      <c r="D104" s="235"/>
      <c r="E104" s="324"/>
      <c r="F104" s="184"/>
      <c r="G104" s="185"/>
      <c r="H104" s="112"/>
      <c r="I104" s="112"/>
      <c r="J104" s="112"/>
      <c r="K104" s="112"/>
      <c r="L104" s="98"/>
      <c r="M104" s="98"/>
      <c r="N104" s="98"/>
      <c r="O104" s="98"/>
      <c r="P104" s="98"/>
      <c r="Q104" s="98"/>
      <c r="R104" s="98"/>
      <c r="T104" s="100"/>
    </row>
    <row r="105" spans="1:20" s="99" customFormat="1" ht="16.5" customHeight="1" thickBot="1">
      <c r="A105" s="318"/>
      <c r="B105" s="319"/>
      <c r="C105" s="239" t="s">
        <v>24</v>
      </c>
      <c r="D105" s="240"/>
      <c r="E105" s="320"/>
      <c r="F105" s="242"/>
      <c r="G105" s="89">
        <f>SUBTOTAL(9,G92:G104)</f>
        <v>0</v>
      </c>
      <c r="H105" s="112"/>
      <c r="I105" s="643">
        <f>SUM(I93:I104)</f>
        <v>0.931526</v>
      </c>
      <c r="J105" s="112"/>
      <c r="K105" s="112"/>
      <c r="L105" s="98"/>
      <c r="M105" s="98"/>
      <c r="N105" s="98"/>
      <c r="O105" s="98"/>
      <c r="P105" s="98"/>
      <c r="Q105" s="98"/>
      <c r="R105" s="98"/>
      <c r="T105" s="100"/>
    </row>
    <row r="106" spans="1:20" s="99" customFormat="1" ht="13.7" customHeight="1" thickBot="1">
      <c r="A106" s="321"/>
      <c r="B106" s="279"/>
      <c r="C106" s="246"/>
      <c r="D106" s="246"/>
      <c r="E106" s="322"/>
      <c r="F106" s="200"/>
      <c r="G106" s="201"/>
      <c r="H106" s="112"/>
      <c r="I106" s="112"/>
      <c r="J106" s="112"/>
      <c r="K106" s="112"/>
      <c r="L106" s="98"/>
      <c r="M106" s="98"/>
      <c r="N106" s="98"/>
      <c r="O106" s="98"/>
      <c r="P106" s="98"/>
      <c r="Q106" s="98"/>
      <c r="R106" s="98"/>
      <c r="T106" s="100"/>
    </row>
    <row r="107" spans="1:20" s="210" customFormat="1" ht="16.5" customHeight="1" thickBot="1">
      <c r="A107" s="202" t="s">
        <v>44</v>
      </c>
      <c r="B107" s="203" t="s">
        <v>51</v>
      </c>
      <c r="C107" s="204" t="s">
        <v>65</v>
      </c>
      <c r="D107" s="205"/>
      <c r="E107" s="206"/>
      <c r="F107" s="207"/>
      <c r="G107" s="208"/>
      <c r="H107" s="192"/>
      <c r="I107" s="192"/>
      <c r="J107" s="192"/>
      <c r="K107" s="192"/>
      <c r="L107" s="209"/>
      <c r="M107" s="209"/>
      <c r="N107" s="209"/>
      <c r="O107" s="209"/>
      <c r="P107" s="209"/>
      <c r="Q107" s="209"/>
      <c r="R107" s="209"/>
      <c r="T107" s="211"/>
    </row>
    <row r="108" spans="1:20" s="99" customFormat="1" ht="12" customHeight="1">
      <c r="A108" s="303"/>
      <c r="B108" s="304"/>
      <c r="C108" s="305"/>
      <c r="D108" s="306"/>
      <c r="E108" s="328"/>
      <c r="F108" s="329"/>
      <c r="G108" s="330"/>
      <c r="H108" s="112"/>
      <c r="I108" s="112"/>
      <c r="J108" s="112"/>
      <c r="K108" s="112"/>
      <c r="L108" s="98"/>
      <c r="M108" s="98"/>
      <c r="N108" s="98"/>
      <c r="O108" s="98"/>
      <c r="P108" s="98"/>
      <c r="Q108" s="98"/>
      <c r="R108" s="98"/>
      <c r="T108" s="100"/>
    </row>
    <row r="109" spans="1:20" s="39" customFormat="1" ht="15.75" customHeight="1">
      <c r="A109" s="47" t="s">
        <v>45</v>
      </c>
      <c r="B109" s="43" t="s">
        <v>81</v>
      </c>
      <c r="C109" s="69" t="s">
        <v>82</v>
      </c>
      <c r="D109" s="35" t="s">
        <v>18</v>
      </c>
      <c r="E109" s="36">
        <v>32.3</v>
      </c>
      <c r="F109" s="36"/>
      <c r="G109" s="34">
        <f>$E109*F109</f>
        <v>0</v>
      </c>
      <c r="H109" s="90"/>
      <c r="I109" s="90"/>
      <c r="J109" s="90"/>
      <c r="K109" s="90"/>
      <c r="L109" s="38"/>
      <c r="M109" s="38"/>
      <c r="N109" s="38"/>
      <c r="O109" s="38"/>
      <c r="P109" s="38"/>
      <c r="Q109" s="38"/>
      <c r="R109" s="38"/>
      <c r="T109" s="40"/>
    </row>
    <row r="110" spans="1:20" s="31" customFormat="1" ht="15.75" customHeight="1">
      <c r="A110" s="23"/>
      <c r="B110" s="24"/>
      <c r="C110" s="25"/>
      <c r="D110" s="26"/>
      <c r="E110" s="27"/>
      <c r="F110" s="27"/>
      <c r="G110" s="28"/>
      <c r="H110" s="29"/>
      <c r="I110" s="29"/>
      <c r="J110" s="29"/>
      <c r="K110" s="29"/>
      <c r="L110" s="30"/>
      <c r="M110" s="30"/>
      <c r="N110" s="30"/>
      <c r="O110" s="30"/>
      <c r="P110" s="30"/>
      <c r="Q110" s="30"/>
      <c r="R110" s="30"/>
      <c r="T110" s="32"/>
    </row>
    <row r="111" spans="1:20" s="31" customFormat="1" ht="27.75" customHeight="1">
      <c r="A111" s="47" t="s">
        <v>46</v>
      </c>
      <c r="B111" s="556" t="s">
        <v>166</v>
      </c>
      <c r="C111" s="69" t="s">
        <v>167</v>
      </c>
      <c r="D111" s="35" t="s">
        <v>18</v>
      </c>
      <c r="E111" s="36">
        <v>32.3</v>
      </c>
      <c r="F111" s="36"/>
      <c r="G111" s="34">
        <f>$E111*F111</f>
        <v>0</v>
      </c>
      <c r="H111" s="283">
        <v>0.00378</v>
      </c>
      <c r="I111" s="230">
        <f>E111*H111</f>
        <v>0.122094</v>
      </c>
      <c r="J111" s="29"/>
      <c r="K111" s="29"/>
      <c r="L111" s="30"/>
      <c r="M111" s="30"/>
      <c r="N111" s="30"/>
      <c r="O111" s="30"/>
      <c r="P111" s="30"/>
      <c r="Q111" s="30"/>
      <c r="R111" s="30"/>
      <c r="T111" s="32"/>
    </row>
    <row r="112" spans="1:20" s="31" customFormat="1" ht="15.75" customHeight="1">
      <c r="A112" s="23"/>
      <c r="B112" s="527"/>
      <c r="C112" s="528"/>
      <c r="D112" s="529"/>
      <c r="E112" s="27"/>
      <c r="F112" s="530"/>
      <c r="G112" s="28"/>
      <c r="H112" s="29"/>
      <c r="I112" s="29"/>
      <c r="J112" s="29"/>
      <c r="K112" s="29"/>
      <c r="L112" s="30"/>
      <c r="M112" s="30"/>
      <c r="N112" s="30"/>
      <c r="O112" s="30"/>
      <c r="P112" s="30"/>
      <c r="Q112" s="30"/>
      <c r="R112" s="30"/>
      <c r="T112" s="32"/>
    </row>
    <row r="113" spans="1:20" s="256" customFormat="1" ht="16.5" customHeight="1">
      <c r="A113" s="47" t="s">
        <v>47</v>
      </c>
      <c r="B113" s="331" t="s">
        <v>168</v>
      </c>
      <c r="C113" s="332" t="s">
        <v>938</v>
      </c>
      <c r="D113" s="333" t="s">
        <v>18</v>
      </c>
      <c r="E113" s="36">
        <v>32.3</v>
      </c>
      <c r="F113" s="335"/>
      <c r="G113" s="34">
        <f aca="true" t="shared" si="11" ref="G113:G119">$E113*F113</f>
        <v>0</v>
      </c>
      <c r="H113" s="283">
        <v>0.00475</v>
      </c>
      <c r="I113" s="230">
        <f>E113*H113</f>
        <v>0.15342499999999998</v>
      </c>
      <c r="J113" s="283"/>
      <c r="K113" s="283"/>
      <c r="L113" s="255"/>
      <c r="M113" s="255"/>
      <c r="N113" s="255"/>
      <c r="O113" s="255"/>
      <c r="P113" s="255"/>
      <c r="Q113" s="255"/>
      <c r="R113" s="255"/>
      <c r="T113" s="257"/>
    </row>
    <row r="114" spans="1:20" s="314" customFormat="1" ht="15" customHeight="1">
      <c r="A114" s="23"/>
      <c r="B114" s="336"/>
      <c r="C114" s="337"/>
      <c r="D114" s="338"/>
      <c r="E114" s="339"/>
      <c r="F114" s="340"/>
      <c r="G114" s="312"/>
      <c r="H114" s="341"/>
      <c r="I114" s="341"/>
      <c r="J114" s="341"/>
      <c r="K114" s="341"/>
      <c r="L114" s="313"/>
      <c r="M114" s="313"/>
      <c r="N114" s="313"/>
      <c r="O114" s="313"/>
      <c r="P114" s="313"/>
      <c r="Q114" s="313"/>
      <c r="R114" s="313"/>
      <c r="T114" s="315"/>
    </row>
    <row r="115" spans="1:20" s="256" customFormat="1" ht="30" customHeight="1">
      <c r="A115" s="47" t="s">
        <v>48</v>
      </c>
      <c r="B115" s="331" t="s">
        <v>169</v>
      </c>
      <c r="C115" s="332" t="s">
        <v>937</v>
      </c>
      <c r="D115" s="333" t="s">
        <v>18</v>
      </c>
      <c r="E115" s="334">
        <f>SUM(D116:D116)</f>
        <v>34.904</v>
      </c>
      <c r="F115" s="335"/>
      <c r="G115" s="34">
        <f t="shared" si="11"/>
        <v>0</v>
      </c>
      <c r="H115" s="283">
        <v>0.0192</v>
      </c>
      <c r="I115" s="230">
        <f>E115*H115</f>
        <v>0.6701568</v>
      </c>
      <c r="J115" s="283"/>
      <c r="K115" s="283"/>
      <c r="L115" s="255"/>
      <c r="M115" s="255"/>
      <c r="N115" s="255"/>
      <c r="O115" s="255"/>
      <c r="P115" s="255"/>
      <c r="Q115" s="255"/>
      <c r="R115" s="255"/>
      <c r="T115" s="257"/>
    </row>
    <row r="116" spans="1:20" s="314" customFormat="1" ht="17.25" customHeight="1">
      <c r="A116" s="23"/>
      <c r="B116" s="336"/>
      <c r="C116" s="337" t="s">
        <v>132</v>
      </c>
      <c r="D116" s="338">
        <f>32.3*1.08+0.02</f>
        <v>34.904</v>
      </c>
      <c r="E116" s="339"/>
      <c r="F116" s="340"/>
      <c r="G116" s="312"/>
      <c r="H116" s="341"/>
      <c r="I116" s="341"/>
      <c r="J116" s="341"/>
      <c r="K116" s="341"/>
      <c r="L116" s="313"/>
      <c r="M116" s="313"/>
      <c r="N116" s="313"/>
      <c r="O116" s="313"/>
      <c r="P116" s="313"/>
      <c r="Q116" s="313"/>
      <c r="R116" s="313"/>
      <c r="T116" s="315"/>
    </row>
    <row r="117" spans="1:20" s="21" customFormat="1" ht="14.25" customHeight="1">
      <c r="A117" s="47" t="s">
        <v>147</v>
      </c>
      <c r="B117" s="386" t="s">
        <v>171</v>
      </c>
      <c r="C117" s="366" t="s">
        <v>157</v>
      </c>
      <c r="D117" s="367" t="s">
        <v>21</v>
      </c>
      <c r="E117" s="55">
        <f>SUM(D118)</f>
        <v>48</v>
      </c>
      <c r="F117" s="56"/>
      <c r="G117" s="34">
        <f t="shared" si="11"/>
        <v>0</v>
      </c>
      <c r="H117" s="531"/>
      <c r="I117" s="531"/>
      <c r="J117" s="531"/>
      <c r="K117" s="531"/>
      <c r="L117" s="532"/>
      <c r="M117" s="532"/>
      <c r="N117" s="532"/>
      <c r="O117" s="532"/>
      <c r="P117" s="532"/>
      <c r="Q117" s="532"/>
      <c r="R117" s="532"/>
      <c r="T117" s="22"/>
    </row>
    <row r="118" spans="1:20" s="314" customFormat="1" ht="18" customHeight="1">
      <c r="A118" s="23"/>
      <c r="B118" s="336"/>
      <c r="C118" s="337" t="s">
        <v>133</v>
      </c>
      <c r="D118" s="338">
        <f>34.4+6.8*2</f>
        <v>48</v>
      </c>
      <c r="E118" s="339"/>
      <c r="F118" s="340"/>
      <c r="G118" s="312"/>
      <c r="H118" s="341"/>
      <c r="I118" s="341"/>
      <c r="J118" s="341"/>
      <c r="K118" s="341"/>
      <c r="L118" s="313"/>
      <c r="M118" s="313"/>
      <c r="N118" s="313"/>
      <c r="O118" s="313"/>
      <c r="P118" s="313"/>
      <c r="Q118" s="313"/>
      <c r="R118" s="313"/>
      <c r="T118" s="315"/>
    </row>
    <row r="119" spans="1:20" s="256" customFormat="1" ht="19.5" customHeight="1">
      <c r="A119" s="47" t="s">
        <v>148</v>
      </c>
      <c r="B119" s="331" t="s">
        <v>172</v>
      </c>
      <c r="C119" s="332" t="s">
        <v>83</v>
      </c>
      <c r="D119" s="333" t="s">
        <v>49</v>
      </c>
      <c r="E119" s="334">
        <f>SUM(G108:G118)*0.01</f>
        <v>0</v>
      </c>
      <c r="F119" s="335"/>
      <c r="G119" s="34">
        <f t="shared" si="11"/>
        <v>0</v>
      </c>
      <c r="H119" s="283"/>
      <c r="I119" s="283"/>
      <c r="J119" s="283"/>
      <c r="K119" s="283"/>
      <c r="L119" s="255"/>
      <c r="M119" s="255"/>
      <c r="N119" s="255"/>
      <c r="O119" s="255"/>
      <c r="P119" s="255"/>
      <c r="Q119" s="255"/>
      <c r="R119" s="255"/>
      <c r="T119" s="257"/>
    </row>
    <row r="120" spans="1:20" s="99" customFormat="1" ht="12" customHeight="1" thickBot="1">
      <c r="A120" s="180"/>
      <c r="B120" s="323"/>
      <c r="C120" s="234"/>
      <c r="D120" s="235"/>
      <c r="E120" s="324"/>
      <c r="F120" s="184"/>
      <c r="G120" s="185"/>
      <c r="H120" s="112"/>
      <c r="I120" s="112"/>
      <c r="J120" s="112"/>
      <c r="K120" s="112"/>
      <c r="L120" s="98"/>
      <c r="M120" s="98"/>
      <c r="N120" s="98"/>
      <c r="O120" s="98"/>
      <c r="P120" s="98"/>
      <c r="Q120" s="98"/>
      <c r="R120" s="98"/>
      <c r="T120" s="100"/>
    </row>
    <row r="121" spans="1:20" s="99" customFormat="1" ht="16.5" customHeight="1" thickBot="1">
      <c r="A121" s="318"/>
      <c r="B121" s="319"/>
      <c r="C121" s="239" t="s">
        <v>24</v>
      </c>
      <c r="D121" s="240"/>
      <c r="E121" s="320"/>
      <c r="F121" s="242"/>
      <c r="G121" s="89">
        <f>SUBTOTAL(9,G108:G120)</f>
        <v>0</v>
      </c>
      <c r="H121" s="112"/>
      <c r="I121" s="112"/>
      <c r="J121" s="112"/>
      <c r="K121" s="112"/>
      <c r="L121" s="98"/>
      <c r="M121" s="98"/>
      <c r="N121" s="98"/>
      <c r="O121" s="98"/>
      <c r="P121" s="98"/>
      <c r="Q121" s="98"/>
      <c r="R121" s="98"/>
      <c r="T121" s="100"/>
    </row>
    <row r="122" spans="1:20" s="99" customFormat="1" ht="13.7" customHeight="1" thickBot="1">
      <c r="A122" s="321"/>
      <c r="B122" s="279"/>
      <c r="C122" s="246"/>
      <c r="D122" s="246"/>
      <c r="E122" s="322"/>
      <c r="F122" s="200"/>
      <c r="G122" s="201"/>
      <c r="H122" s="112"/>
      <c r="I122" s="112"/>
      <c r="J122" s="112"/>
      <c r="K122" s="112"/>
      <c r="L122" s="98"/>
      <c r="M122" s="98"/>
      <c r="N122" s="98"/>
      <c r="O122" s="98"/>
      <c r="P122" s="98"/>
      <c r="Q122" s="98"/>
      <c r="R122" s="98"/>
      <c r="T122" s="100"/>
    </row>
    <row r="123" spans="1:20" s="210" customFormat="1" ht="16.5" customHeight="1" thickBot="1">
      <c r="A123" s="202" t="s">
        <v>134</v>
      </c>
      <c r="B123" s="203"/>
      <c r="C123" s="204" t="s">
        <v>52</v>
      </c>
      <c r="D123" s="205"/>
      <c r="E123" s="206"/>
      <c r="F123" s="207"/>
      <c r="G123" s="208"/>
      <c r="H123" s="192"/>
      <c r="I123" s="192"/>
      <c r="J123" s="192"/>
      <c r="K123" s="192"/>
      <c r="L123" s="209"/>
      <c r="M123" s="209"/>
      <c r="N123" s="209"/>
      <c r="O123" s="209"/>
      <c r="P123" s="209"/>
      <c r="Q123" s="209"/>
      <c r="R123" s="209"/>
      <c r="T123" s="211"/>
    </row>
    <row r="124" spans="1:20" s="99" customFormat="1" ht="12" customHeight="1">
      <c r="A124" s="303"/>
      <c r="B124" s="304"/>
      <c r="C124" s="305"/>
      <c r="D124" s="306"/>
      <c r="E124" s="328"/>
      <c r="F124" s="329"/>
      <c r="G124" s="330"/>
      <c r="H124" s="112"/>
      <c r="I124" s="112"/>
      <c r="J124" s="112"/>
      <c r="K124" s="112"/>
      <c r="L124" s="98"/>
      <c r="M124" s="98"/>
      <c r="N124" s="98"/>
      <c r="O124" s="98"/>
      <c r="P124" s="98"/>
      <c r="Q124" s="98"/>
      <c r="R124" s="98"/>
      <c r="T124" s="100"/>
    </row>
    <row r="125" spans="1:7" s="256" customFormat="1" ht="36">
      <c r="A125" s="301" t="s">
        <v>135</v>
      </c>
      <c r="B125" s="231"/>
      <c r="C125" s="308" t="s">
        <v>1026</v>
      </c>
      <c r="D125" s="347"/>
      <c r="E125" s="327"/>
      <c r="F125" s="169"/>
      <c r="G125" s="165"/>
    </row>
    <row r="126" spans="1:20" s="99" customFormat="1" ht="12" customHeight="1" thickBot="1">
      <c r="A126" s="180"/>
      <c r="B126" s="323"/>
      <c r="C126" s="234"/>
      <c r="D126" s="235"/>
      <c r="E126" s="324"/>
      <c r="F126" s="184"/>
      <c r="G126" s="185"/>
      <c r="H126" s="112"/>
      <c r="I126" s="112"/>
      <c r="J126" s="112"/>
      <c r="K126" s="112"/>
      <c r="L126" s="98"/>
      <c r="M126" s="98"/>
      <c r="N126" s="98"/>
      <c r="O126" s="98"/>
      <c r="P126" s="98"/>
      <c r="Q126" s="98"/>
      <c r="R126" s="98"/>
      <c r="T126" s="100"/>
    </row>
    <row r="127" spans="1:20" s="99" customFormat="1" ht="16.5" customHeight="1" thickBot="1">
      <c r="A127" s="318"/>
      <c r="B127" s="319"/>
      <c r="C127" s="239" t="s">
        <v>24</v>
      </c>
      <c r="D127" s="240"/>
      <c r="E127" s="320"/>
      <c r="F127" s="242"/>
      <c r="G127" s="89">
        <f>SUBTOTAL(9,G124:G126)</f>
        <v>0</v>
      </c>
      <c r="H127" s="112"/>
      <c r="I127" s="112"/>
      <c r="J127" s="112"/>
      <c r="K127" s="112"/>
      <c r="L127" s="98"/>
      <c r="M127" s="98"/>
      <c r="N127" s="98"/>
      <c r="O127" s="98"/>
      <c r="P127" s="98"/>
      <c r="Q127" s="98"/>
      <c r="R127" s="98"/>
      <c r="T127" s="100"/>
    </row>
    <row r="128" spans="1:20" s="99" customFormat="1" ht="13.7" customHeight="1" thickBot="1">
      <c r="A128" s="321"/>
      <c r="B128" s="279"/>
      <c r="C128" s="246"/>
      <c r="D128" s="246"/>
      <c r="E128" s="322"/>
      <c r="F128" s="200"/>
      <c r="G128" s="201"/>
      <c r="H128" s="112"/>
      <c r="I128" s="112"/>
      <c r="J128" s="112"/>
      <c r="K128" s="112"/>
      <c r="L128" s="98"/>
      <c r="M128" s="98"/>
      <c r="N128" s="98"/>
      <c r="O128" s="98"/>
      <c r="P128" s="98"/>
      <c r="Q128" s="98"/>
      <c r="R128" s="98"/>
      <c r="T128" s="100"/>
    </row>
    <row r="129" spans="1:20" s="355" customFormat="1" ht="30.75" customHeight="1" thickBot="1">
      <c r="A129" s="186"/>
      <c r="B129" s="348"/>
      <c r="C129" s="349" t="s">
        <v>53</v>
      </c>
      <c r="D129" s="349"/>
      <c r="E129" s="350"/>
      <c r="F129" s="351"/>
      <c r="G129" s="352">
        <f>SUBTOTAL(9,G26:G127)</f>
        <v>0</v>
      </c>
      <c r="H129" s="353"/>
      <c r="I129" s="353"/>
      <c r="J129" s="353"/>
      <c r="K129" s="353"/>
      <c r="L129" s="354"/>
      <c r="M129" s="354"/>
      <c r="N129" s="354"/>
      <c r="O129" s="354"/>
      <c r="P129" s="354"/>
      <c r="Q129" s="354"/>
      <c r="R129" s="354"/>
      <c r="T129" s="356"/>
    </row>
    <row r="130" ht="12.75">
      <c r="E130" s="359"/>
    </row>
    <row r="131" ht="12.75">
      <c r="E131" s="359"/>
    </row>
    <row r="132" ht="12.75">
      <c r="E132" s="359"/>
    </row>
    <row r="133" ht="12.75">
      <c r="E133" s="359"/>
    </row>
    <row r="134" ht="12.75">
      <c r="E134" s="359"/>
    </row>
    <row r="135" ht="12.75">
      <c r="E135" s="359"/>
    </row>
    <row r="136" ht="12.75">
      <c r="E136" s="359"/>
    </row>
    <row r="137" spans="1:59" s="360" customFormat="1" ht="12.75">
      <c r="A137" s="357"/>
      <c r="B137" s="358"/>
      <c r="C137" s="104"/>
      <c r="D137" s="104"/>
      <c r="E137" s="359"/>
      <c r="G137" s="105"/>
      <c r="H137" s="119"/>
      <c r="I137" s="119"/>
      <c r="J137" s="119"/>
      <c r="K137" s="119"/>
      <c r="L137" s="98"/>
      <c r="M137" s="98"/>
      <c r="N137" s="98"/>
      <c r="O137" s="98"/>
      <c r="P137" s="98"/>
      <c r="Q137" s="98"/>
      <c r="R137" s="98"/>
      <c r="S137" s="104"/>
      <c r="T137" s="105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</row>
    <row r="138" spans="1:59" s="360" customFormat="1" ht="12.75">
      <c r="A138" s="357"/>
      <c r="B138" s="358"/>
      <c r="C138" s="104"/>
      <c r="D138" s="104"/>
      <c r="E138" s="359"/>
      <c r="G138" s="105"/>
      <c r="H138" s="119"/>
      <c r="I138" s="119"/>
      <c r="J138" s="119"/>
      <c r="K138" s="119"/>
      <c r="L138" s="98"/>
      <c r="M138" s="98"/>
      <c r="N138" s="98"/>
      <c r="O138" s="98"/>
      <c r="P138" s="98"/>
      <c r="Q138" s="98"/>
      <c r="R138" s="98"/>
      <c r="S138" s="104"/>
      <c r="T138" s="105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</row>
    <row r="139" spans="1:59" s="360" customFormat="1" ht="12.75">
      <c r="A139" s="357"/>
      <c r="B139" s="358"/>
      <c r="C139" s="104"/>
      <c r="D139" s="104"/>
      <c r="E139" s="359"/>
      <c r="G139" s="105"/>
      <c r="H139" s="119"/>
      <c r="I139" s="119"/>
      <c r="J139" s="119"/>
      <c r="K139" s="119"/>
      <c r="L139" s="98"/>
      <c r="M139" s="98"/>
      <c r="N139" s="98"/>
      <c r="O139" s="98"/>
      <c r="P139" s="98"/>
      <c r="Q139" s="98"/>
      <c r="R139" s="98"/>
      <c r="S139" s="104"/>
      <c r="T139" s="105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</row>
    <row r="140" spans="1:59" s="360" customFormat="1" ht="12.75">
      <c r="A140" s="357"/>
      <c r="B140" s="358"/>
      <c r="C140" s="104"/>
      <c r="D140" s="104"/>
      <c r="E140" s="359"/>
      <c r="G140" s="105"/>
      <c r="H140" s="119"/>
      <c r="I140" s="119"/>
      <c r="J140" s="119"/>
      <c r="K140" s="119"/>
      <c r="L140" s="98"/>
      <c r="M140" s="98"/>
      <c r="N140" s="98"/>
      <c r="O140" s="98"/>
      <c r="P140" s="98"/>
      <c r="Q140" s="98"/>
      <c r="R140" s="98"/>
      <c r="S140" s="104"/>
      <c r="T140" s="105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</row>
    <row r="141" spans="1:59" s="360" customFormat="1" ht="12.75">
      <c r="A141" s="357"/>
      <c r="B141" s="358"/>
      <c r="C141" s="104"/>
      <c r="D141" s="104"/>
      <c r="E141" s="359"/>
      <c r="G141" s="105"/>
      <c r="H141" s="119"/>
      <c r="I141" s="119"/>
      <c r="J141" s="119"/>
      <c r="K141" s="119"/>
      <c r="L141" s="98"/>
      <c r="M141" s="98"/>
      <c r="N141" s="98"/>
      <c r="O141" s="98"/>
      <c r="P141" s="98"/>
      <c r="Q141" s="98"/>
      <c r="R141" s="98"/>
      <c r="S141" s="104"/>
      <c r="T141" s="105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</row>
    <row r="142" spans="1:59" s="360" customFormat="1" ht="12.75">
      <c r="A142" s="357"/>
      <c r="B142" s="358"/>
      <c r="C142" s="104"/>
      <c r="D142" s="104"/>
      <c r="E142" s="359"/>
      <c r="G142" s="105"/>
      <c r="H142" s="119"/>
      <c r="I142" s="119"/>
      <c r="J142" s="119"/>
      <c r="K142" s="119"/>
      <c r="L142" s="98"/>
      <c r="M142" s="98"/>
      <c r="N142" s="98"/>
      <c r="O142" s="98"/>
      <c r="P142" s="98"/>
      <c r="Q142" s="98"/>
      <c r="R142" s="98"/>
      <c r="S142" s="104"/>
      <c r="T142" s="105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</row>
    <row r="143" spans="1:59" s="360" customFormat="1" ht="12.75">
      <c r="A143" s="357"/>
      <c r="B143" s="358"/>
      <c r="C143" s="104"/>
      <c r="D143" s="104"/>
      <c r="E143" s="359"/>
      <c r="G143" s="105"/>
      <c r="H143" s="119"/>
      <c r="I143" s="119"/>
      <c r="J143" s="119"/>
      <c r="K143" s="119"/>
      <c r="L143" s="98"/>
      <c r="M143" s="98"/>
      <c r="N143" s="98"/>
      <c r="O143" s="98"/>
      <c r="P143" s="98"/>
      <c r="Q143" s="98"/>
      <c r="R143" s="98"/>
      <c r="S143" s="104"/>
      <c r="T143" s="105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</row>
    <row r="144" spans="1:59" s="360" customFormat="1" ht="12.75">
      <c r="A144" s="357"/>
      <c r="B144" s="358"/>
      <c r="C144" s="104"/>
      <c r="D144" s="104"/>
      <c r="E144" s="359"/>
      <c r="G144" s="105"/>
      <c r="H144" s="119"/>
      <c r="I144" s="119"/>
      <c r="J144" s="119"/>
      <c r="K144" s="119"/>
      <c r="L144" s="98"/>
      <c r="M144" s="98"/>
      <c r="N144" s="98"/>
      <c r="O144" s="98"/>
      <c r="P144" s="98"/>
      <c r="Q144" s="98"/>
      <c r="R144" s="98"/>
      <c r="S144" s="104"/>
      <c r="T144" s="105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</row>
    <row r="145" spans="1:59" s="360" customFormat="1" ht="12.75">
      <c r="A145" s="357"/>
      <c r="B145" s="358"/>
      <c r="C145" s="104"/>
      <c r="D145" s="104"/>
      <c r="E145" s="359"/>
      <c r="G145" s="105"/>
      <c r="H145" s="119"/>
      <c r="I145" s="119"/>
      <c r="J145" s="119"/>
      <c r="K145" s="119"/>
      <c r="L145" s="98"/>
      <c r="M145" s="98"/>
      <c r="N145" s="98"/>
      <c r="O145" s="98"/>
      <c r="P145" s="98"/>
      <c r="Q145" s="98"/>
      <c r="R145" s="98"/>
      <c r="S145" s="104"/>
      <c r="T145" s="105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</row>
    <row r="146" spans="1:59" s="360" customFormat="1" ht="12.75">
      <c r="A146" s="357"/>
      <c r="B146" s="358"/>
      <c r="C146" s="104"/>
      <c r="D146" s="104"/>
      <c r="E146" s="359"/>
      <c r="G146" s="105"/>
      <c r="H146" s="119"/>
      <c r="I146" s="119"/>
      <c r="J146" s="119"/>
      <c r="K146" s="119"/>
      <c r="L146" s="98"/>
      <c r="M146" s="98"/>
      <c r="N146" s="98"/>
      <c r="O146" s="98"/>
      <c r="P146" s="98"/>
      <c r="Q146" s="98"/>
      <c r="R146" s="98"/>
      <c r="S146" s="104"/>
      <c r="T146" s="105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</row>
    <row r="147" spans="1:59" s="360" customFormat="1" ht="12.75">
      <c r="A147" s="357"/>
      <c r="B147" s="358"/>
      <c r="C147" s="104"/>
      <c r="D147" s="104"/>
      <c r="E147" s="359"/>
      <c r="G147" s="105"/>
      <c r="H147" s="119"/>
      <c r="I147" s="119"/>
      <c r="J147" s="119"/>
      <c r="K147" s="119"/>
      <c r="L147" s="98"/>
      <c r="M147" s="98"/>
      <c r="N147" s="98"/>
      <c r="O147" s="98"/>
      <c r="P147" s="98"/>
      <c r="Q147" s="98"/>
      <c r="R147" s="98"/>
      <c r="S147" s="104"/>
      <c r="T147" s="105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</row>
    <row r="148" spans="1:59" s="360" customFormat="1" ht="12.75">
      <c r="A148" s="357"/>
      <c r="B148" s="358"/>
      <c r="C148" s="104"/>
      <c r="D148" s="104"/>
      <c r="E148" s="359"/>
      <c r="G148" s="105"/>
      <c r="H148" s="119"/>
      <c r="I148" s="119"/>
      <c r="J148" s="119"/>
      <c r="K148" s="119"/>
      <c r="L148" s="98"/>
      <c r="M148" s="98"/>
      <c r="N148" s="98"/>
      <c r="O148" s="98"/>
      <c r="P148" s="98"/>
      <c r="Q148" s="98"/>
      <c r="R148" s="98"/>
      <c r="S148" s="104"/>
      <c r="T148" s="105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</row>
    <row r="149" spans="1:59" s="360" customFormat="1" ht="12.75">
      <c r="A149" s="357"/>
      <c r="B149" s="358"/>
      <c r="C149" s="104"/>
      <c r="D149" s="104"/>
      <c r="E149" s="359"/>
      <c r="G149" s="105"/>
      <c r="H149" s="119"/>
      <c r="I149" s="119"/>
      <c r="J149" s="119"/>
      <c r="K149" s="119"/>
      <c r="L149" s="98"/>
      <c r="M149" s="98"/>
      <c r="N149" s="98"/>
      <c r="O149" s="98"/>
      <c r="P149" s="98"/>
      <c r="Q149" s="98"/>
      <c r="R149" s="98"/>
      <c r="S149" s="104"/>
      <c r="T149" s="105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</row>
    <row r="150" spans="1:59" s="360" customFormat="1" ht="12.75">
      <c r="A150" s="357"/>
      <c r="B150" s="358"/>
      <c r="C150" s="104"/>
      <c r="D150" s="104"/>
      <c r="E150" s="359"/>
      <c r="G150" s="105"/>
      <c r="H150" s="119"/>
      <c r="I150" s="119"/>
      <c r="J150" s="119"/>
      <c r="K150" s="119"/>
      <c r="L150" s="98"/>
      <c r="M150" s="98"/>
      <c r="N150" s="98"/>
      <c r="O150" s="98"/>
      <c r="P150" s="98"/>
      <c r="Q150" s="98"/>
      <c r="R150" s="98"/>
      <c r="S150" s="104"/>
      <c r="T150" s="105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</row>
    <row r="151" spans="1:59" s="360" customFormat="1" ht="12.75">
      <c r="A151" s="357"/>
      <c r="B151" s="358"/>
      <c r="C151" s="104"/>
      <c r="D151" s="104"/>
      <c r="E151" s="359"/>
      <c r="G151" s="105"/>
      <c r="H151" s="119"/>
      <c r="I151" s="119"/>
      <c r="J151" s="119"/>
      <c r="K151" s="119"/>
      <c r="L151" s="98"/>
      <c r="M151" s="98"/>
      <c r="N151" s="98"/>
      <c r="O151" s="98"/>
      <c r="P151" s="98"/>
      <c r="Q151" s="98"/>
      <c r="R151" s="98"/>
      <c r="S151" s="104"/>
      <c r="T151" s="105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</row>
    <row r="152" spans="1:59" s="360" customFormat="1" ht="12.75">
      <c r="A152" s="357"/>
      <c r="B152" s="358"/>
      <c r="C152" s="104"/>
      <c r="D152" s="104"/>
      <c r="E152" s="359"/>
      <c r="G152" s="105"/>
      <c r="H152" s="119"/>
      <c r="I152" s="119"/>
      <c r="J152" s="119"/>
      <c r="K152" s="119"/>
      <c r="L152" s="98"/>
      <c r="M152" s="98"/>
      <c r="N152" s="98"/>
      <c r="O152" s="98"/>
      <c r="P152" s="98"/>
      <c r="Q152" s="98"/>
      <c r="R152" s="98"/>
      <c r="S152" s="104"/>
      <c r="T152" s="105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</row>
    <row r="153" spans="1:59" s="360" customFormat="1" ht="12.75">
      <c r="A153" s="357"/>
      <c r="B153" s="358"/>
      <c r="C153" s="104"/>
      <c r="D153" s="104"/>
      <c r="E153" s="359"/>
      <c r="G153" s="105"/>
      <c r="H153" s="119"/>
      <c r="I153" s="119"/>
      <c r="J153" s="119"/>
      <c r="K153" s="119"/>
      <c r="L153" s="98"/>
      <c r="M153" s="98"/>
      <c r="N153" s="98"/>
      <c r="O153" s="98"/>
      <c r="P153" s="98"/>
      <c r="Q153" s="98"/>
      <c r="R153" s="98"/>
      <c r="S153" s="104"/>
      <c r="T153" s="105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</row>
    <row r="154" spans="1:59" s="360" customFormat="1" ht="12.75">
      <c r="A154" s="357"/>
      <c r="B154" s="358"/>
      <c r="C154" s="104"/>
      <c r="D154" s="104"/>
      <c r="E154" s="359"/>
      <c r="G154" s="105"/>
      <c r="H154" s="119"/>
      <c r="I154" s="119"/>
      <c r="J154" s="119"/>
      <c r="K154" s="119"/>
      <c r="L154" s="98"/>
      <c r="M154" s="98"/>
      <c r="N154" s="98"/>
      <c r="O154" s="98"/>
      <c r="P154" s="98"/>
      <c r="Q154" s="98"/>
      <c r="R154" s="98"/>
      <c r="S154" s="104"/>
      <c r="T154" s="105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</row>
    <row r="155" spans="1:59" s="360" customFormat="1" ht="12.75">
      <c r="A155" s="357"/>
      <c r="B155" s="358"/>
      <c r="C155" s="104"/>
      <c r="D155" s="104"/>
      <c r="E155" s="359"/>
      <c r="G155" s="105"/>
      <c r="H155" s="119"/>
      <c r="I155" s="119"/>
      <c r="J155" s="119"/>
      <c r="K155" s="119"/>
      <c r="L155" s="98"/>
      <c r="M155" s="98"/>
      <c r="N155" s="98"/>
      <c r="O155" s="98"/>
      <c r="P155" s="98"/>
      <c r="Q155" s="98"/>
      <c r="R155" s="98"/>
      <c r="S155" s="104"/>
      <c r="T155" s="105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</row>
    <row r="156" spans="1:59" s="360" customFormat="1" ht="12.75">
      <c r="A156" s="357"/>
      <c r="B156" s="358"/>
      <c r="C156" s="104"/>
      <c r="D156" s="104"/>
      <c r="E156" s="359"/>
      <c r="G156" s="105"/>
      <c r="H156" s="119"/>
      <c r="I156" s="119"/>
      <c r="J156" s="119"/>
      <c r="K156" s="119"/>
      <c r="L156" s="98"/>
      <c r="M156" s="98"/>
      <c r="N156" s="98"/>
      <c r="O156" s="98"/>
      <c r="P156" s="98"/>
      <c r="Q156" s="98"/>
      <c r="R156" s="98"/>
      <c r="S156" s="104"/>
      <c r="T156" s="105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</row>
    <row r="157" spans="1:59" s="360" customFormat="1" ht="12.75">
      <c r="A157" s="357"/>
      <c r="B157" s="358"/>
      <c r="C157" s="104"/>
      <c r="D157" s="104"/>
      <c r="E157" s="359"/>
      <c r="G157" s="105"/>
      <c r="H157" s="119"/>
      <c r="I157" s="119"/>
      <c r="J157" s="119"/>
      <c r="K157" s="119"/>
      <c r="L157" s="98"/>
      <c r="M157" s="98"/>
      <c r="N157" s="98"/>
      <c r="O157" s="98"/>
      <c r="P157" s="98"/>
      <c r="Q157" s="98"/>
      <c r="R157" s="98"/>
      <c r="S157" s="104"/>
      <c r="T157" s="105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</row>
    <row r="158" spans="1:59" s="360" customFormat="1" ht="12.75">
      <c r="A158" s="357"/>
      <c r="B158" s="358"/>
      <c r="C158" s="104"/>
      <c r="D158" s="104"/>
      <c r="E158" s="359"/>
      <c r="G158" s="105"/>
      <c r="H158" s="119"/>
      <c r="I158" s="119"/>
      <c r="J158" s="119"/>
      <c r="K158" s="119"/>
      <c r="L158" s="98"/>
      <c r="M158" s="98"/>
      <c r="N158" s="98"/>
      <c r="O158" s="98"/>
      <c r="P158" s="98"/>
      <c r="Q158" s="98"/>
      <c r="R158" s="98"/>
      <c r="S158" s="104"/>
      <c r="T158" s="105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</row>
    <row r="159" spans="1:59" s="360" customFormat="1" ht="12.75">
      <c r="A159" s="357"/>
      <c r="B159" s="358"/>
      <c r="C159" s="104"/>
      <c r="D159" s="104"/>
      <c r="E159" s="359"/>
      <c r="G159" s="105"/>
      <c r="H159" s="119"/>
      <c r="I159" s="119"/>
      <c r="J159" s="119"/>
      <c r="K159" s="119"/>
      <c r="L159" s="98"/>
      <c r="M159" s="98"/>
      <c r="N159" s="98"/>
      <c r="O159" s="98"/>
      <c r="P159" s="98"/>
      <c r="Q159" s="98"/>
      <c r="R159" s="98"/>
      <c r="S159" s="104"/>
      <c r="T159" s="105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</row>
    <row r="160" spans="1:59" s="360" customFormat="1" ht="12.75">
      <c r="A160" s="357"/>
      <c r="B160" s="358"/>
      <c r="C160" s="104"/>
      <c r="D160" s="104"/>
      <c r="E160" s="359"/>
      <c r="G160" s="105"/>
      <c r="H160" s="119"/>
      <c r="I160" s="119"/>
      <c r="J160" s="119"/>
      <c r="K160" s="119"/>
      <c r="L160" s="98"/>
      <c r="M160" s="98"/>
      <c r="N160" s="98"/>
      <c r="O160" s="98"/>
      <c r="P160" s="98"/>
      <c r="Q160" s="98"/>
      <c r="R160" s="98"/>
      <c r="S160" s="104"/>
      <c r="T160" s="105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</row>
    <row r="161" spans="1:59" s="360" customFormat="1" ht="12.75">
      <c r="A161" s="357"/>
      <c r="B161" s="358"/>
      <c r="C161" s="104"/>
      <c r="D161" s="104"/>
      <c r="E161" s="359"/>
      <c r="G161" s="105"/>
      <c r="H161" s="119"/>
      <c r="I161" s="119"/>
      <c r="J161" s="119"/>
      <c r="K161" s="119"/>
      <c r="L161" s="98"/>
      <c r="M161" s="98"/>
      <c r="N161" s="98"/>
      <c r="O161" s="98"/>
      <c r="P161" s="98"/>
      <c r="Q161" s="98"/>
      <c r="R161" s="98"/>
      <c r="S161" s="104"/>
      <c r="T161" s="105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</row>
    <row r="162" spans="1:59" s="360" customFormat="1" ht="12.75">
      <c r="A162" s="357"/>
      <c r="B162" s="358"/>
      <c r="C162" s="104"/>
      <c r="D162" s="104"/>
      <c r="E162" s="359"/>
      <c r="G162" s="105"/>
      <c r="H162" s="119"/>
      <c r="I162" s="119"/>
      <c r="J162" s="119"/>
      <c r="K162" s="119"/>
      <c r="L162" s="98"/>
      <c r="M162" s="98"/>
      <c r="N162" s="98"/>
      <c r="O162" s="98"/>
      <c r="P162" s="98"/>
      <c r="Q162" s="98"/>
      <c r="R162" s="98"/>
      <c r="S162" s="104"/>
      <c r="T162" s="105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</row>
    <row r="163" spans="1:59" s="360" customFormat="1" ht="12.75">
      <c r="A163" s="357"/>
      <c r="B163" s="358"/>
      <c r="C163" s="104"/>
      <c r="D163" s="104"/>
      <c r="E163" s="359"/>
      <c r="G163" s="105"/>
      <c r="H163" s="119"/>
      <c r="I163" s="119"/>
      <c r="J163" s="119"/>
      <c r="K163" s="119"/>
      <c r="L163" s="98"/>
      <c r="M163" s="98"/>
      <c r="N163" s="98"/>
      <c r="O163" s="98"/>
      <c r="P163" s="98"/>
      <c r="Q163" s="98"/>
      <c r="R163" s="98"/>
      <c r="S163" s="104"/>
      <c r="T163" s="105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</row>
    <row r="164" spans="1:59" s="360" customFormat="1" ht="12.75">
      <c r="A164" s="357"/>
      <c r="B164" s="358"/>
      <c r="C164" s="104"/>
      <c r="D164" s="104"/>
      <c r="E164" s="359"/>
      <c r="G164" s="105"/>
      <c r="H164" s="119"/>
      <c r="I164" s="119"/>
      <c r="J164" s="119"/>
      <c r="K164" s="119"/>
      <c r="L164" s="98"/>
      <c r="M164" s="98"/>
      <c r="N164" s="98"/>
      <c r="O164" s="98"/>
      <c r="P164" s="98"/>
      <c r="Q164" s="98"/>
      <c r="R164" s="98"/>
      <c r="S164" s="104"/>
      <c r="T164" s="105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</row>
    <row r="165" spans="1:59" s="360" customFormat="1" ht="12.75">
      <c r="A165" s="357"/>
      <c r="B165" s="358"/>
      <c r="C165" s="104"/>
      <c r="D165" s="104"/>
      <c r="E165" s="359"/>
      <c r="G165" s="105"/>
      <c r="H165" s="119"/>
      <c r="I165" s="119"/>
      <c r="J165" s="119"/>
      <c r="K165" s="119"/>
      <c r="L165" s="98"/>
      <c r="M165" s="98"/>
      <c r="N165" s="98"/>
      <c r="O165" s="98"/>
      <c r="P165" s="98"/>
      <c r="Q165" s="98"/>
      <c r="R165" s="98"/>
      <c r="S165" s="104"/>
      <c r="T165" s="105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</row>
    <row r="166" spans="1:59" s="360" customFormat="1" ht="12.75">
      <c r="A166" s="357"/>
      <c r="B166" s="358"/>
      <c r="C166" s="104"/>
      <c r="D166" s="104"/>
      <c r="E166" s="359"/>
      <c r="G166" s="105"/>
      <c r="H166" s="119"/>
      <c r="I166" s="119"/>
      <c r="J166" s="119"/>
      <c r="K166" s="119"/>
      <c r="L166" s="98"/>
      <c r="M166" s="98"/>
      <c r="N166" s="98"/>
      <c r="O166" s="98"/>
      <c r="P166" s="98"/>
      <c r="Q166" s="98"/>
      <c r="R166" s="98"/>
      <c r="S166" s="104"/>
      <c r="T166" s="105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</row>
    <row r="167" spans="1:59" s="360" customFormat="1" ht="12.75">
      <c r="A167" s="357"/>
      <c r="B167" s="358"/>
      <c r="C167" s="104"/>
      <c r="D167" s="104"/>
      <c r="E167" s="359"/>
      <c r="G167" s="105"/>
      <c r="H167" s="119"/>
      <c r="I167" s="119"/>
      <c r="J167" s="119"/>
      <c r="K167" s="119"/>
      <c r="L167" s="98"/>
      <c r="M167" s="98"/>
      <c r="N167" s="98"/>
      <c r="O167" s="98"/>
      <c r="P167" s="98"/>
      <c r="Q167" s="98"/>
      <c r="R167" s="98"/>
      <c r="S167" s="104"/>
      <c r="T167" s="105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</row>
    <row r="168" spans="1:59" s="360" customFormat="1" ht="12.75">
      <c r="A168" s="357"/>
      <c r="B168" s="358"/>
      <c r="C168" s="104"/>
      <c r="D168" s="104"/>
      <c r="E168" s="359"/>
      <c r="G168" s="105"/>
      <c r="H168" s="119"/>
      <c r="I168" s="119"/>
      <c r="J168" s="119"/>
      <c r="K168" s="119"/>
      <c r="L168" s="98"/>
      <c r="M168" s="98"/>
      <c r="N168" s="98"/>
      <c r="O168" s="98"/>
      <c r="P168" s="98"/>
      <c r="Q168" s="98"/>
      <c r="R168" s="98"/>
      <c r="S168" s="104"/>
      <c r="T168" s="105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</row>
    <row r="169" spans="1:59" s="360" customFormat="1" ht="12.75">
      <c r="A169" s="357"/>
      <c r="B169" s="358"/>
      <c r="C169" s="104"/>
      <c r="D169" s="104"/>
      <c r="E169" s="359"/>
      <c r="G169" s="105"/>
      <c r="H169" s="119"/>
      <c r="I169" s="119"/>
      <c r="J169" s="119"/>
      <c r="K169" s="119"/>
      <c r="L169" s="98"/>
      <c r="M169" s="98"/>
      <c r="N169" s="98"/>
      <c r="O169" s="98"/>
      <c r="P169" s="98"/>
      <c r="Q169" s="98"/>
      <c r="R169" s="98"/>
      <c r="S169" s="104"/>
      <c r="T169" s="105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</row>
    <row r="170" spans="1:59" s="360" customFormat="1" ht="12.75">
      <c r="A170" s="357"/>
      <c r="B170" s="358"/>
      <c r="C170" s="104"/>
      <c r="D170" s="104"/>
      <c r="E170" s="359"/>
      <c r="G170" s="105"/>
      <c r="H170" s="119"/>
      <c r="I170" s="119"/>
      <c r="J170" s="119"/>
      <c r="K170" s="119"/>
      <c r="L170" s="98"/>
      <c r="M170" s="98"/>
      <c r="N170" s="98"/>
      <c r="O170" s="98"/>
      <c r="P170" s="98"/>
      <c r="Q170" s="98"/>
      <c r="R170" s="98"/>
      <c r="S170" s="104"/>
      <c r="T170" s="105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</row>
    <row r="171" spans="1:59" s="360" customFormat="1" ht="12.75">
      <c r="A171" s="357"/>
      <c r="B171" s="358"/>
      <c r="C171" s="104"/>
      <c r="D171" s="104"/>
      <c r="E171" s="359"/>
      <c r="G171" s="105"/>
      <c r="H171" s="119"/>
      <c r="I171" s="119"/>
      <c r="J171" s="119"/>
      <c r="K171" s="119"/>
      <c r="L171" s="98"/>
      <c r="M171" s="98"/>
      <c r="N171" s="98"/>
      <c r="O171" s="98"/>
      <c r="P171" s="98"/>
      <c r="Q171" s="98"/>
      <c r="R171" s="98"/>
      <c r="S171" s="104"/>
      <c r="T171" s="105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</row>
    <row r="172" spans="1:59" s="360" customFormat="1" ht="12.75">
      <c r="A172" s="357"/>
      <c r="B172" s="358"/>
      <c r="C172" s="104"/>
      <c r="D172" s="104"/>
      <c r="E172" s="359"/>
      <c r="G172" s="105"/>
      <c r="H172" s="119"/>
      <c r="I172" s="119"/>
      <c r="J172" s="119"/>
      <c r="K172" s="119"/>
      <c r="L172" s="98"/>
      <c r="M172" s="98"/>
      <c r="N172" s="98"/>
      <c r="O172" s="98"/>
      <c r="P172" s="98"/>
      <c r="Q172" s="98"/>
      <c r="R172" s="98"/>
      <c r="S172" s="104"/>
      <c r="T172" s="105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</row>
    <row r="173" spans="1:59" s="360" customFormat="1" ht="12.75">
      <c r="A173" s="357"/>
      <c r="B173" s="358"/>
      <c r="C173" s="104"/>
      <c r="D173" s="104"/>
      <c r="E173" s="359"/>
      <c r="G173" s="105"/>
      <c r="H173" s="119"/>
      <c r="I173" s="119"/>
      <c r="J173" s="119"/>
      <c r="K173" s="119"/>
      <c r="L173" s="98"/>
      <c r="M173" s="98"/>
      <c r="N173" s="98"/>
      <c r="O173" s="98"/>
      <c r="P173" s="98"/>
      <c r="Q173" s="98"/>
      <c r="R173" s="98"/>
      <c r="S173" s="104"/>
      <c r="T173" s="105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</row>
    <row r="174" spans="1:59" s="360" customFormat="1" ht="12.75">
      <c r="A174" s="357"/>
      <c r="B174" s="358"/>
      <c r="C174" s="104"/>
      <c r="D174" s="104"/>
      <c r="E174" s="359"/>
      <c r="G174" s="105"/>
      <c r="H174" s="119"/>
      <c r="I174" s="119"/>
      <c r="J174" s="119"/>
      <c r="K174" s="119"/>
      <c r="L174" s="98"/>
      <c r="M174" s="98"/>
      <c r="N174" s="98"/>
      <c r="O174" s="98"/>
      <c r="P174" s="98"/>
      <c r="Q174" s="98"/>
      <c r="R174" s="98"/>
      <c r="S174" s="104"/>
      <c r="T174" s="105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</row>
    <row r="175" spans="1:59" s="360" customFormat="1" ht="12.75">
      <c r="A175" s="357"/>
      <c r="B175" s="358"/>
      <c r="C175" s="104"/>
      <c r="D175" s="104"/>
      <c r="E175" s="359"/>
      <c r="G175" s="105"/>
      <c r="H175" s="119"/>
      <c r="I175" s="119"/>
      <c r="J175" s="119"/>
      <c r="K175" s="119"/>
      <c r="L175" s="98"/>
      <c r="M175" s="98"/>
      <c r="N175" s="98"/>
      <c r="O175" s="98"/>
      <c r="P175" s="98"/>
      <c r="Q175" s="98"/>
      <c r="R175" s="98"/>
      <c r="S175" s="104"/>
      <c r="T175" s="105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</row>
    <row r="176" spans="1:59" s="360" customFormat="1" ht="12.75">
      <c r="A176" s="357"/>
      <c r="B176" s="358"/>
      <c r="C176" s="104"/>
      <c r="D176" s="104"/>
      <c r="E176" s="359"/>
      <c r="G176" s="105"/>
      <c r="H176" s="119"/>
      <c r="I176" s="119"/>
      <c r="J176" s="119"/>
      <c r="K176" s="119"/>
      <c r="L176" s="98"/>
      <c r="M176" s="98"/>
      <c r="N176" s="98"/>
      <c r="O176" s="98"/>
      <c r="P176" s="98"/>
      <c r="Q176" s="98"/>
      <c r="R176" s="98"/>
      <c r="S176" s="104"/>
      <c r="T176" s="105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</row>
    <row r="177" spans="1:59" s="360" customFormat="1" ht="12.75">
      <c r="A177" s="357"/>
      <c r="B177" s="358"/>
      <c r="C177" s="104"/>
      <c r="D177" s="104"/>
      <c r="E177" s="359"/>
      <c r="G177" s="105"/>
      <c r="H177" s="119"/>
      <c r="I177" s="119"/>
      <c r="J177" s="119"/>
      <c r="K177" s="119"/>
      <c r="L177" s="98"/>
      <c r="M177" s="98"/>
      <c r="N177" s="98"/>
      <c r="O177" s="98"/>
      <c r="P177" s="98"/>
      <c r="Q177" s="98"/>
      <c r="R177" s="98"/>
      <c r="S177" s="104"/>
      <c r="T177" s="105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</row>
    <row r="178" spans="1:59" s="360" customFormat="1" ht="12.75">
      <c r="A178" s="357"/>
      <c r="B178" s="358"/>
      <c r="C178" s="104"/>
      <c r="D178" s="104"/>
      <c r="E178" s="359"/>
      <c r="G178" s="105"/>
      <c r="H178" s="119"/>
      <c r="I178" s="119"/>
      <c r="J178" s="119"/>
      <c r="K178" s="119"/>
      <c r="L178" s="98"/>
      <c r="M178" s="98"/>
      <c r="N178" s="98"/>
      <c r="O178" s="98"/>
      <c r="P178" s="98"/>
      <c r="Q178" s="98"/>
      <c r="R178" s="98"/>
      <c r="S178" s="104"/>
      <c r="T178" s="105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</row>
    <row r="179" spans="1:59" s="360" customFormat="1" ht="12.75">
      <c r="A179" s="357"/>
      <c r="B179" s="358"/>
      <c r="C179" s="104"/>
      <c r="D179" s="104"/>
      <c r="E179" s="359"/>
      <c r="G179" s="105"/>
      <c r="H179" s="119"/>
      <c r="I179" s="119"/>
      <c r="J179" s="119"/>
      <c r="K179" s="119"/>
      <c r="L179" s="98"/>
      <c r="M179" s="98"/>
      <c r="N179" s="98"/>
      <c r="O179" s="98"/>
      <c r="P179" s="98"/>
      <c r="Q179" s="98"/>
      <c r="R179" s="98"/>
      <c r="S179" s="104"/>
      <c r="T179" s="105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</row>
    <row r="180" spans="1:59" s="360" customFormat="1" ht="12.75">
      <c r="A180" s="357"/>
      <c r="B180" s="358"/>
      <c r="C180" s="104"/>
      <c r="D180" s="104"/>
      <c r="E180" s="359"/>
      <c r="G180" s="105"/>
      <c r="H180" s="119"/>
      <c r="I180" s="119"/>
      <c r="J180" s="119"/>
      <c r="K180" s="119"/>
      <c r="L180" s="98"/>
      <c r="M180" s="98"/>
      <c r="N180" s="98"/>
      <c r="O180" s="98"/>
      <c r="P180" s="98"/>
      <c r="Q180" s="98"/>
      <c r="R180" s="98"/>
      <c r="S180" s="104"/>
      <c r="T180" s="105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</row>
    <row r="181" spans="1:59" s="360" customFormat="1" ht="12.75">
      <c r="A181" s="357"/>
      <c r="B181" s="358"/>
      <c r="C181" s="104"/>
      <c r="D181" s="104"/>
      <c r="E181" s="359"/>
      <c r="G181" s="105"/>
      <c r="H181" s="119"/>
      <c r="I181" s="119"/>
      <c r="J181" s="119"/>
      <c r="K181" s="119"/>
      <c r="L181" s="98"/>
      <c r="M181" s="98"/>
      <c r="N181" s="98"/>
      <c r="O181" s="98"/>
      <c r="P181" s="98"/>
      <c r="Q181" s="98"/>
      <c r="R181" s="98"/>
      <c r="S181" s="104"/>
      <c r="T181" s="105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</row>
    <row r="182" spans="1:59" s="360" customFormat="1" ht="12.75">
      <c r="A182" s="357"/>
      <c r="B182" s="358"/>
      <c r="C182" s="104"/>
      <c r="D182" s="104"/>
      <c r="E182" s="359"/>
      <c r="G182" s="105"/>
      <c r="H182" s="119"/>
      <c r="I182" s="119"/>
      <c r="J182" s="119"/>
      <c r="K182" s="119"/>
      <c r="L182" s="98"/>
      <c r="M182" s="98"/>
      <c r="N182" s="98"/>
      <c r="O182" s="98"/>
      <c r="P182" s="98"/>
      <c r="Q182" s="98"/>
      <c r="R182" s="98"/>
      <c r="S182" s="104"/>
      <c r="T182" s="105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</row>
    <row r="183" spans="1:59" s="360" customFormat="1" ht="12.75">
      <c r="A183" s="357"/>
      <c r="B183" s="358"/>
      <c r="C183" s="104"/>
      <c r="D183" s="104"/>
      <c r="E183" s="359"/>
      <c r="G183" s="105"/>
      <c r="H183" s="119"/>
      <c r="I183" s="119"/>
      <c r="J183" s="119"/>
      <c r="K183" s="119"/>
      <c r="L183" s="98"/>
      <c r="M183" s="98"/>
      <c r="N183" s="98"/>
      <c r="O183" s="98"/>
      <c r="P183" s="98"/>
      <c r="Q183" s="98"/>
      <c r="R183" s="98"/>
      <c r="S183" s="104"/>
      <c r="T183" s="105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</row>
    <row r="184" spans="1:59" s="360" customFormat="1" ht="12.75">
      <c r="A184" s="357"/>
      <c r="B184" s="358"/>
      <c r="C184" s="104"/>
      <c r="D184" s="104"/>
      <c r="E184" s="359"/>
      <c r="G184" s="105"/>
      <c r="H184" s="119"/>
      <c r="I184" s="119"/>
      <c r="J184" s="119"/>
      <c r="K184" s="119"/>
      <c r="L184" s="98"/>
      <c r="M184" s="98"/>
      <c r="N184" s="98"/>
      <c r="O184" s="98"/>
      <c r="P184" s="98"/>
      <c r="Q184" s="98"/>
      <c r="R184" s="98"/>
      <c r="S184" s="104"/>
      <c r="T184" s="105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</row>
    <row r="185" spans="1:59" s="360" customFormat="1" ht="12.75">
      <c r="A185" s="357"/>
      <c r="B185" s="358"/>
      <c r="C185" s="104"/>
      <c r="D185" s="104"/>
      <c r="E185" s="359"/>
      <c r="G185" s="105"/>
      <c r="H185" s="119"/>
      <c r="I185" s="119"/>
      <c r="J185" s="119"/>
      <c r="K185" s="119"/>
      <c r="L185" s="98"/>
      <c r="M185" s="98"/>
      <c r="N185" s="98"/>
      <c r="O185" s="98"/>
      <c r="P185" s="98"/>
      <c r="Q185" s="98"/>
      <c r="R185" s="98"/>
      <c r="S185" s="104"/>
      <c r="T185" s="105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</row>
    <row r="186" spans="1:59" s="360" customFormat="1" ht="12.75">
      <c r="A186" s="357"/>
      <c r="B186" s="358"/>
      <c r="C186" s="104"/>
      <c r="D186" s="104"/>
      <c r="E186" s="359"/>
      <c r="G186" s="105"/>
      <c r="H186" s="119"/>
      <c r="I186" s="119"/>
      <c r="J186" s="119"/>
      <c r="K186" s="119"/>
      <c r="L186" s="98"/>
      <c r="M186" s="98"/>
      <c r="N186" s="98"/>
      <c r="O186" s="98"/>
      <c r="P186" s="98"/>
      <c r="Q186" s="98"/>
      <c r="R186" s="98"/>
      <c r="S186" s="104"/>
      <c r="T186" s="105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</row>
    <row r="187" spans="1:59" s="360" customFormat="1" ht="12.75">
      <c r="A187" s="357"/>
      <c r="B187" s="358"/>
      <c r="C187" s="104"/>
      <c r="D187" s="104"/>
      <c r="E187" s="359"/>
      <c r="G187" s="105"/>
      <c r="H187" s="119"/>
      <c r="I187" s="119"/>
      <c r="J187" s="119"/>
      <c r="K187" s="119"/>
      <c r="L187" s="98"/>
      <c r="M187" s="98"/>
      <c r="N187" s="98"/>
      <c r="O187" s="98"/>
      <c r="P187" s="98"/>
      <c r="Q187" s="98"/>
      <c r="R187" s="98"/>
      <c r="S187" s="104"/>
      <c r="T187" s="105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</row>
    <row r="188" spans="1:59" s="360" customFormat="1" ht="12.75">
      <c r="A188" s="357"/>
      <c r="B188" s="358"/>
      <c r="C188" s="104"/>
      <c r="D188" s="104"/>
      <c r="E188" s="359"/>
      <c r="G188" s="105"/>
      <c r="H188" s="119"/>
      <c r="I188" s="119"/>
      <c r="J188" s="119"/>
      <c r="K188" s="119"/>
      <c r="L188" s="98"/>
      <c r="M188" s="98"/>
      <c r="N188" s="98"/>
      <c r="O188" s="98"/>
      <c r="P188" s="98"/>
      <c r="Q188" s="98"/>
      <c r="R188" s="98"/>
      <c r="S188" s="104"/>
      <c r="T188" s="105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</row>
    <row r="189" spans="1:59" s="360" customFormat="1" ht="12.75">
      <c r="A189" s="357"/>
      <c r="B189" s="358"/>
      <c r="C189" s="104"/>
      <c r="D189" s="104"/>
      <c r="E189" s="359"/>
      <c r="G189" s="105"/>
      <c r="H189" s="119"/>
      <c r="I189" s="119"/>
      <c r="J189" s="119"/>
      <c r="K189" s="119"/>
      <c r="L189" s="98"/>
      <c r="M189" s="98"/>
      <c r="N189" s="98"/>
      <c r="O189" s="98"/>
      <c r="P189" s="98"/>
      <c r="Q189" s="98"/>
      <c r="R189" s="98"/>
      <c r="S189" s="104"/>
      <c r="T189" s="105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</row>
    <row r="190" spans="1:59" s="360" customFormat="1" ht="12.75">
      <c r="A190" s="357"/>
      <c r="B190" s="358"/>
      <c r="C190" s="104"/>
      <c r="D190" s="104"/>
      <c r="E190" s="359"/>
      <c r="G190" s="105"/>
      <c r="H190" s="119"/>
      <c r="I190" s="119"/>
      <c r="J190" s="119"/>
      <c r="K190" s="119"/>
      <c r="L190" s="98"/>
      <c r="M190" s="98"/>
      <c r="N190" s="98"/>
      <c r="O190" s="98"/>
      <c r="P190" s="98"/>
      <c r="Q190" s="98"/>
      <c r="R190" s="98"/>
      <c r="S190" s="104"/>
      <c r="T190" s="105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</row>
    <row r="191" spans="1:59" s="360" customFormat="1" ht="12.75">
      <c r="A191" s="357"/>
      <c r="B191" s="358"/>
      <c r="C191" s="104"/>
      <c r="D191" s="104"/>
      <c r="E191" s="359"/>
      <c r="G191" s="105"/>
      <c r="H191" s="119"/>
      <c r="I191" s="119"/>
      <c r="J191" s="119"/>
      <c r="K191" s="119"/>
      <c r="L191" s="98"/>
      <c r="M191" s="98"/>
      <c r="N191" s="98"/>
      <c r="O191" s="98"/>
      <c r="P191" s="98"/>
      <c r="Q191" s="98"/>
      <c r="R191" s="98"/>
      <c r="S191" s="104"/>
      <c r="T191" s="105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</row>
    <row r="192" spans="1:59" s="360" customFormat="1" ht="12.75">
      <c r="A192" s="357"/>
      <c r="B192" s="358"/>
      <c r="C192" s="104"/>
      <c r="D192" s="104"/>
      <c r="E192" s="359"/>
      <c r="G192" s="105"/>
      <c r="H192" s="119"/>
      <c r="I192" s="119"/>
      <c r="J192" s="119"/>
      <c r="K192" s="119"/>
      <c r="L192" s="98"/>
      <c r="M192" s="98"/>
      <c r="N192" s="98"/>
      <c r="O192" s="98"/>
      <c r="P192" s="98"/>
      <c r="Q192" s="98"/>
      <c r="R192" s="98"/>
      <c r="S192" s="104"/>
      <c r="T192" s="105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</row>
  </sheetData>
  <mergeCells count="1">
    <mergeCell ref="C3:D3"/>
  </mergeCells>
  <printOptions/>
  <pageMargins left="0.4724409448818898" right="0.31496062992125984" top="0.6692913385826772" bottom="0.9448818897637796" header="0.4724409448818898" footer="0.4724409448818898"/>
  <pageSetup fitToHeight="99" horizontalDpi="600" verticalDpi="600" orientation="portrait" paperSize="9" scale="80" r:id="rId1"/>
  <headerFooter alignWithMargins="0">
    <oddFooter>&amp;L&amp;F
&amp;A&amp;C&amp;P/&amp;N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G195"/>
  <sheetViews>
    <sheetView showGridLines="0" view="pageBreakPreview" zoomScaleSheetLayoutView="100" workbookViewId="0" topLeftCell="A1">
      <selection activeCell="G6" sqref="G6"/>
    </sheetView>
  </sheetViews>
  <sheetFormatPr defaultColWidth="9.140625" defaultRowHeight="12.75"/>
  <cols>
    <col min="1" max="1" width="6.8515625" style="357" customWidth="1"/>
    <col min="2" max="2" width="15.140625" style="358" customWidth="1"/>
    <col min="3" max="3" width="47.8515625" style="104" customWidth="1"/>
    <col min="4" max="4" width="10.28125" style="104" customWidth="1"/>
    <col min="5" max="5" width="10.8515625" style="361" customWidth="1"/>
    <col min="6" max="6" width="11.421875" style="360" customWidth="1"/>
    <col min="7" max="7" width="18.140625" style="105" customWidth="1"/>
    <col min="8" max="8" width="14.421875" style="119" customWidth="1"/>
    <col min="9" max="9" width="14.57421875" style="119" customWidth="1"/>
    <col min="10" max="10" width="10.00390625" style="119" customWidth="1"/>
    <col min="11" max="11" width="17.28125" style="119" customWidth="1"/>
    <col min="12" max="12" width="11.7109375" style="98" bestFit="1" customWidth="1"/>
    <col min="13" max="13" width="12.8515625" style="98" bestFit="1" customWidth="1"/>
    <col min="14" max="14" width="11.28125" style="98" bestFit="1" customWidth="1"/>
    <col min="15" max="16" width="9.140625" style="98" customWidth="1"/>
    <col min="17" max="17" width="11.28125" style="98" bestFit="1" customWidth="1"/>
    <col min="18" max="18" width="9.140625" style="98" customWidth="1"/>
    <col min="19" max="19" width="9.140625" style="104" customWidth="1"/>
    <col min="20" max="20" width="10.140625" style="105" bestFit="1" customWidth="1"/>
    <col min="21" max="26" width="9.140625" style="104" customWidth="1"/>
    <col min="27" max="29" width="9.28125" style="104" bestFit="1" customWidth="1"/>
    <col min="30" max="53" width="9.140625" style="104" customWidth="1"/>
    <col min="54" max="54" width="9.28125" style="104" bestFit="1" customWidth="1"/>
    <col min="55" max="55" width="11.00390625" style="104" bestFit="1" customWidth="1"/>
    <col min="56" max="59" width="9.28125" style="104" bestFit="1" customWidth="1"/>
    <col min="60" max="16384" width="9.140625" style="104" customWidth="1"/>
  </cols>
  <sheetData>
    <row r="1" spans="1:20" s="39" customFormat="1" ht="57" customHeight="1">
      <c r="A1" s="387" t="s">
        <v>0</v>
      </c>
      <c r="B1" s="388"/>
      <c r="C1" s="389" t="s">
        <v>84</v>
      </c>
      <c r="D1" s="390"/>
      <c r="E1" s="390"/>
      <c r="F1" s="391"/>
      <c r="G1" s="392" t="s">
        <v>1</v>
      </c>
      <c r="H1" s="393"/>
      <c r="I1" s="393"/>
      <c r="J1" s="393"/>
      <c r="K1" s="393"/>
      <c r="L1" s="38"/>
      <c r="M1" s="38"/>
      <c r="N1" s="38"/>
      <c r="O1" s="38"/>
      <c r="P1" s="38"/>
      <c r="Q1" s="38"/>
      <c r="R1" s="38"/>
      <c r="T1" s="40"/>
    </row>
    <row r="2" spans="1:20" s="88" customFormat="1" ht="29.25" customHeight="1">
      <c r="A2" s="394" t="s">
        <v>2</v>
      </c>
      <c r="B2" s="395"/>
      <c r="C2" s="520" t="s">
        <v>103</v>
      </c>
      <c r="D2" s="102"/>
      <c r="E2" s="396"/>
      <c r="F2" s="397"/>
      <c r="G2" s="398" t="s">
        <v>3</v>
      </c>
      <c r="H2" s="393"/>
      <c r="I2" s="393"/>
      <c r="J2" s="393"/>
      <c r="K2" s="393"/>
      <c r="L2" s="38"/>
      <c r="M2" s="38"/>
      <c r="N2" s="38"/>
      <c r="O2" s="38"/>
      <c r="P2" s="38"/>
      <c r="Q2" s="38"/>
      <c r="R2" s="38"/>
      <c r="T2" s="399"/>
    </row>
    <row r="3" spans="1:20" s="405" customFormat="1" ht="70.5" customHeight="1">
      <c r="A3" s="394" t="s">
        <v>4</v>
      </c>
      <c r="B3" s="395"/>
      <c r="C3" s="657" t="s">
        <v>178</v>
      </c>
      <c r="D3" s="658"/>
      <c r="E3" s="400"/>
      <c r="F3" s="401"/>
      <c r="G3" s="1" t="s">
        <v>237</v>
      </c>
      <c r="H3" s="402"/>
      <c r="I3" s="403"/>
      <c r="J3" s="402"/>
      <c r="K3" s="402"/>
      <c r="L3" s="404"/>
      <c r="M3" s="404"/>
      <c r="N3" s="404"/>
      <c r="O3" s="404"/>
      <c r="P3" s="404"/>
      <c r="Q3" s="404"/>
      <c r="R3" s="404"/>
      <c r="T3" s="406"/>
    </row>
    <row r="4" spans="1:20" s="286" customFormat="1" ht="24" customHeight="1">
      <c r="A4" s="518"/>
      <c r="B4" s="107" t="s">
        <v>877</v>
      </c>
      <c r="C4" s="108" t="s">
        <v>609</v>
      </c>
      <c r="D4" s="109"/>
      <c r="E4" s="407"/>
      <c r="F4" s="110"/>
      <c r="G4" s="111"/>
      <c r="H4" s="283"/>
      <c r="I4" s="283"/>
      <c r="J4" s="283"/>
      <c r="K4" s="283"/>
      <c r="L4" s="255"/>
      <c r="M4" s="255"/>
      <c r="N4" s="255"/>
      <c r="O4" s="255"/>
      <c r="P4" s="255"/>
      <c r="Q4" s="255"/>
      <c r="R4" s="255"/>
      <c r="T4" s="408"/>
    </row>
    <row r="5" spans="1:7" ht="5.25" customHeight="1" thickBot="1">
      <c r="A5" s="113"/>
      <c r="B5" s="114"/>
      <c r="C5" s="115"/>
      <c r="D5" s="115"/>
      <c r="E5" s="116"/>
      <c r="F5" s="117"/>
      <c r="G5" s="118"/>
    </row>
    <row r="6" spans="1:20" s="128" customFormat="1" ht="51.75" customHeight="1" thickBot="1">
      <c r="A6" s="120" t="s">
        <v>5</v>
      </c>
      <c r="B6" s="121"/>
      <c r="C6" s="122" t="s">
        <v>6</v>
      </c>
      <c r="D6" s="123" t="s">
        <v>7</v>
      </c>
      <c r="E6" s="124" t="s">
        <v>8</v>
      </c>
      <c r="F6" s="125" t="s">
        <v>9</v>
      </c>
      <c r="G6" s="126" t="s">
        <v>10</v>
      </c>
      <c r="H6" s="119"/>
      <c r="I6" s="119"/>
      <c r="J6" s="119"/>
      <c r="K6" s="119"/>
      <c r="L6" s="127"/>
      <c r="M6" s="127"/>
      <c r="N6" s="127"/>
      <c r="O6" s="127"/>
      <c r="P6" s="127"/>
      <c r="Q6" s="127"/>
      <c r="R6" s="127"/>
      <c r="T6" s="129"/>
    </row>
    <row r="7" spans="1:20" s="139" customFormat="1" ht="24" customHeight="1" thickTop="1">
      <c r="A7" s="130"/>
      <c r="B7" s="131"/>
      <c r="C7" s="132" t="s">
        <v>11</v>
      </c>
      <c r="D7" s="133"/>
      <c r="E7" s="134"/>
      <c r="F7" s="135"/>
      <c r="G7" s="136"/>
      <c r="H7" s="137"/>
      <c r="I7" s="137"/>
      <c r="J7" s="137"/>
      <c r="K7" s="137"/>
      <c r="L7" s="138"/>
      <c r="M7" s="138"/>
      <c r="N7" s="138"/>
      <c r="O7" s="138"/>
      <c r="P7" s="138"/>
      <c r="Q7" s="138"/>
      <c r="R7" s="138"/>
      <c r="T7" s="140"/>
    </row>
    <row r="8" spans="1:7" s="139" customFormat="1" ht="12" customHeight="1">
      <c r="A8" s="130"/>
      <c r="B8" s="131"/>
      <c r="C8" s="229"/>
      <c r="D8" s="133"/>
      <c r="E8" s="134"/>
      <c r="F8" s="135"/>
      <c r="G8" s="136"/>
    </row>
    <row r="9" spans="1:20" s="9" customFormat="1" ht="6" customHeight="1">
      <c r="A9" s="2"/>
      <c r="B9" s="3"/>
      <c r="C9" s="4"/>
      <c r="D9" s="5"/>
      <c r="E9" s="5"/>
      <c r="F9" s="5"/>
      <c r="G9" s="6"/>
      <c r="H9" s="7"/>
      <c r="I9" s="7"/>
      <c r="J9" s="7"/>
      <c r="K9" s="7"/>
      <c r="L9" s="8"/>
      <c r="M9" s="8"/>
      <c r="N9" s="8"/>
      <c r="O9" s="8"/>
      <c r="P9" s="8"/>
      <c r="Q9" s="8"/>
      <c r="R9" s="8"/>
      <c r="T9" s="10"/>
    </row>
    <row r="10" spans="1:20" s="128" customFormat="1" ht="10.5" customHeight="1">
      <c r="A10" s="141"/>
      <c r="B10" s="142"/>
      <c r="C10" s="11"/>
      <c r="D10" s="143"/>
      <c r="E10" s="144"/>
      <c r="F10" s="145"/>
      <c r="G10" s="146"/>
      <c r="H10" s="119"/>
      <c r="I10" s="119"/>
      <c r="J10" s="119"/>
      <c r="K10" s="119"/>
      <c r="L10" s="127"/>
      <c r="M10" s="127"/>
      <c r="N10" s="127"/>
      <c r="O10" s="127"/>
      <c r="P10" s="127"/>
      <c r="Q10" s="127"/>
      <c r="R10" s="127"/>
      <c r="T10" s="129"/>
    </row>
    <row r="11" spans="1:20" s="99" customFormat="1" ht="18" customHeight="1">
      <c r="A11" s="147"/>
      <c r="B11" s="148"/>
      <c r="C11" s="149" t="s">
        <v>12</v>
      </c>
      <c r="D11" s="150"/>
      <c r="E11" s="151"/>
      <c r="F11" s="152"/>
      <c r="G11" s="153"/>
      <c r="H11" s="119"/>
      <c r="I11" s="119"/>
      <c r="J11" s="119"/>
      <c r="K11" s="119"/>
      <c r="L11" s="98"/>
      <c r="M11" s="98"/>
      <c r="N11" s="98"/>
      <c r="O11" s="98"/>
      <c r="P11" s="98"/>
      <c r="Q11" s="98"/>
      <c r="R11" s="98"/>
      <c r="T11" s="100"/>
    </row>
    <row r="12" spans="1:20" s="161" customFormat="1" ht="10.5" customHeight="1">
      <c r="A12" s="147"/>
      <c r="B12" s="154"/>
      <c r="C12" s="155"/>
      <c r="D12" s="156"/>
      <c r="E12" s="157"/>
      <c r="F12" s="158"/>
      <c r="G12" s="159"/>
      <c r="H12" s="119"/>
      <c r="I12" s="119"/>
      <c r="J12" s="119"/>
      <c r="K12" s="119"/>
      <c r="L12" s="160"/>
      <c r="M12" s="160"/>
      <c r="N12" s="160"/>
      <c r="O12" s="160"/>
      <c r="P12" s="160"/>
      <c r="Q12" s="160"/>
      <c r="R12" s="160"/>
      <c r="T12" s="162"/>
    </row>
    <row r="13" spans="1:20" s="9" customFormat="1" ht="6" customHeight="1">
      <c r="A13" s="2"/>
      <c r="B13" s="3"/>
      <c r="C13" s="4"/>
      <c r="D13" s="5"/>
      <c r="E13" s="5"/>
      <c r="F13" s="5"/>
      <c r="G13" s="6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T13" s="10"/>
    </row>
    <row r="14" spans="1:20" s="161" customFormat="1" ht="18" customHeight="1">
      <c r="A14" s="147"/>
      <c r="B14" s="154"/>
      <c r="C14" s="155"/>
      <c r="D14" s="156"/>
      <c r="E14" s="157"/>
      <c r="F14" s="158"/>
      <c r="G14" s="159"/>
      <c r="H14" s="119"/>
      <c r="I14" s="119"/>
      <c r="J14" s="119"/>
      <c r="K14" s="119"/>
      <c r="L14" s="160"/>
      <c r="M14" s="160"/>
      <c r="N14" s="160"/>
      <c r="O14" s="160"/>
      <c r="P14" s="160"/>
      <c r="Q14" s="160"/>
      <c r="R14" s="160"/>
      <c r="T14" s="162"/>
    </row>
    <row r="15" spans="1:20" s="171" customFormat="1" ht="18" customHeight="1">
      <c r="A15" s="163" t="str">
        <f>A25</f>
        <v>1</v>
      </c>
      <c r="B15" s="164" t="s">
        <v>13</v>
      </c>
      <c r="C15" s="166" t="str">
        <f>C25</f>
        <v>Bourání</v>
      </c>
      <c r="D15" s="167"/>
      <c r="E15" s="168"/>
      <c r="F15" s="169"/>
      <c r="G15" s="165">
        <f>G32</f>
        <v>0</v>
      </c>
      <c r="H15" s="137"/>
      <c r="I15" s="137"/>
      <c r="J15" s="137"/>
      <c r="K15" s="137"/>
      <c r="L15" s="170"/>
      <c r="M15" s="170"/>
      <c r="N15" s="170"/>
      <c r="O15" s="170"/>
      <c r="P15" s="170"/>
      <c r="Q15" s="170"/>
      <c r="R15" s="170"/>
      <c r="T15" s="172"/>
    </row>
    <row r="16" spans="1:20" s="171" customFormat="1" ht="18" customHeight="1">
      <c r="A16" s="163" t="str">
        <f>A34</f>
        <v>2</v>
      </c>
      <c r="B16" s="164" t="str">
        <f>B34</f>
        <v>27</v>
      </c>
      <c r="C16" s="166" t="str">
        <f>C34</f>
        <v>Betonové konstrukce</v>
      </c>
      <c r="D16" s="167"/>
      <c r="E16" s="168"/>
      <c r="F16" s="169"/>
      <c r="G16" s="165">
        <f>G53</f>
        <v>0</v>
      </c>
      <c r="H16" s="137"/>
      <c r="I16" s="137"/>
      <c r="J16" s="137"/>
      <c r="K16" s="137"/>
      <c r="L16" s="170"/>
      <c r="M16" s="170"/>
      <c r="N16" s="170"/>
      <c r="O16" s="170"/>
      <c r="P16" s="170"/>
      <c r="Q16" s="170"/>
      <c r="R16" s="170"/>
      <c r="T16" s="172"/>
    </row>
    <row r="17" spans="1:20" s="171" customFormat="1" ht="18" customHeight="1">
      <c r="A17" s="163" t="str">
        <f>A55</f>
        <v>3</v>
      </c>
      <c r="B17" s="164" t="str">
        <f>B55</f>
        <v>41</v>
      </c>
      <c r="C17" s="166" t="str">
        <f>C55</f>
        <v>Ocelové konstrukce rampy</v>
      </c>
      <c r="D17" s="167"/>
      <c r="E17" s="168"/>
      <c r="F17" s="169"/>
      <c r="G17" s="165">
        <f>G81</f>
        <v>0</v>
      </c>
      <c r="H17" s="137"/>
      <c r="I17" s="137"/>
      <c r="J17" s="137"/>
      <c r="K17" s="137"/>
      <c r="L17" s="170"/>
      <c r="M17" s="170"/>
      <c r="N17" s="170"/>
      <c r="O17" s="170"/>
      <c r="P17" s="170"/>
      <c r="Q17" s="170"/>
      <c r="R17" s="170"/>
      <c r="T17" s="172"/>
    </row>
    <row r="18" spans="1:20" s="161" customFormat="1" ht="18" customHeight="1">
      <c r="A18" s="163" t="str">
        <f>A83</f>
        <v>4</v>
      </c>
      <c r="B18" s="164" t="str">
        <f>B83</f>
        <v>09</v>
      </c>
      <c r="C18" s="155" t="str">
        <f>C83</f>
        <v>Ostatní konstrukce a práce</v>
      </c>
      <c r="D18" s="156"/>
      <c r="E18" s="157"/>
      <c r="F18" s="158"/>
      <c r="G18" s="159">
        <f>G87</f>
        <v>0</v>
      </c>
      <c r="H18" s="119"/>
      <c r="I18" s="119"/>
      <c r="J18" s="119"/>
      <c r="K18" s="119"/>
      <c r="L18" s="160"/>
      <c r="M18" s="160"/>
      <c r="N18" s="160"/>
      <c r="O18" s="160"/>
      <c r="P18" s="160"/>
      <c r="Q18" s="160"/>
      <c r="R18" s="160"/>
      <c r="T18" s="162"/>
    </row>
    <row r="19" spans="1:20" s="161" customFormat="1" ht="18" customHeight="1">
      <c r="A19" s="163" t="str">
        <f>A89</f>
        <v>5</v>
      </c>
      <c r="B19" s="164" t="str">
        <f>$B$89</f>
        <v>767</v>
      </c>
      <c r="C19" s="155" t="str">
        <f>C89</f>
        <v>Konstrukce zámečnické</v>
      </c>
      <c r="D19" s="156"/>
      <c r="E19" s="157"/>
      <c r="F19" s="158"/>
      <c r="G19" s="159">
        <f>G108</f>
        <v>0</v>
      </c>
      <c r="H19" s="119"/>
      <c r="I19" s="119"/>
      <c r="J19" s="119"/>
      <c r="K19" s="119"/>
      <c r="L19" s="160"/>
      <c r="M19" s="160"/>
      <c r="N19" s="160"/>
      <c r="O19" s="160"/>
      <c r="P19" s="160"/>
      <c r="Q19" s="160"/>
      <c r="R19" s="160"/>
      <c r="T19" s="162"/>
    </row>
    <row r="20" spans="1:20" s="161" customFormat="1" ht="18" customHeight="1">
      <c r="A20" s="173" t="str">
        <f aca="true" t="shared" si="0" ref="A20:C20">A110</f>
        <v>6</v>
      </c>
      <c r="B20" s="174" t="str">
        <f t="shared" si="0"/>
        <v>771</v>
      </c>
      <c r="C20" s="175" t="str">
        <f t="shared" si="0"/>
        <v>Podlahy z dlaždic</v>
      </c>
      <c r="D20" s="176"/>
      <c r="E20" s="177"/>
      <c r="F20" s="178"/>
      <c r="G20" s="179">
        <f>G124</f>
        <v>0</v>
      </c>
      <c r="H20" s="119"/>
      <c r="I20" s="119"/>
      <c r="J20" s="119"/>
      <c r="K20" s="119"/>
      <c r="L20" s="160"/>
      <c r="M20" s="160"/>
      <c r="N20" s="160"/>
      <c r="O20" s="160"/>
      <c r="P20" s="160"/>
      <c r="Q20" s="160"/>
      <c r="R20" s="160"/>
      <c r="T20" s="162"/>
    </row>
    <row r="21" spans="1:20" s="161" customFormat="1" ht="18" customHeight="1">
      <c r="A21" s="173" t="str">
        <f aca="true" t="shared" si="1" ref="A21:C21">A126</f>
        <v>A</v>
      </c>
      <c r="B21" s="174"/>
      <c r="C21" s="175" t="str">
        <f t="shared" si="1"/>
        <v>Jiné</v>
      </c>
      <c r="D21" s="176"/>
      <c r="E21" s="177"/>
      <c r="F21" s="178"/>
      <c r="G21" s="179">
        <f>G130</f>
        <v>0</v>
      </c>
      <c r="H21" s="119"/>
      <c r="I21" s="119"/>
      <c r="J21" s="119"/>
      <c r="K21" s="119"/>
      <c r="L21" s="160"/>
      <c r="M21" s="160"/>
      <c r="N21" s="160"/>
      <c r="O21" s="160"/>
      <c r="P21" s="160"/>
      <c r="Q21" s="160"/>
      <c r="R21" s="160"/>
      <c r="T21" s="162"/>
    </row>
    <row r="22" spans="1:20" s="99" customFormat="1" ht="18" customHeight="1" thickBot="1">
      <c r="A22" s="180"/>
      <c r="B22" s="181"/>
      <c r="C22" s="182"/>
      <c r="D22" s="182"/>
      <c r="E22" s="183"/>
      <c r="F22" s="184"/>
      <c r="G22" s="185"/>
      <c r="H22" s="119"/>
      <c r="I22" s="119"/>
      <c r="J22" s="119"/>
      <c r="K22" s="119"/>
      <c r="L22" s="98"/>
      <c r="M22" s="98"/>
      <c r="N22" s="98"/>
      <c r="O22" s="98"/>
      <c r="P22" s="98"/>
      <c r="Q22" s="98"/>
      <c r="R22" s="98"/>
      <c r="T22" s="100"/>
    </row>
    <row r="23" spans="1:20" s="194" customFormat="1" ht="23.25" customHeight="1" thickBot="1">
      <c r="A23" s="186"/>
      <c r="B23" s="187"/>
      <c r="C23" s="188" t="s">
        <v>14</v>
      </c>
      <c r="D23" s="188"/>
      <c r="E23" s="189"/>
      <c r="F23" s="190"/>
      <c r="G23" s="191">
        <f>SUM(G15:G22)</f>
        <v>0</v>
      </c>
      <c r="H23" s="192"/>
      <c r="I23" s="192"/>
      <c r="J23" s="192"/>
      <c r="K23" s="192"/>
      <c r="L23" s="193"/>
      <c r="M23" s="193"/>
      <c r="N23" s="193"/>
      <c r="O23" s="193"/>
      <c r="P23" s="193"/>
      <c r="Q23" s="193"/>
      <c r="R23" s="193"/>
      <c r="T23" s="195"/>
    </row>
    <row r="24" spans="1:7" ht="13.5" customHeight="1" thickBot="1">
      <c r="A24" s="196"/>
      <c r="B24" s="197"/>
      <c r="C24" s="198"/>
      <c r="D24" s="198"/>
      <c r="E24" s="199"/>
      <c r="F24" s="200"/>
      <c r="G24" s="201"/>
    </row>
    <row r="25" spans="1:20" s="210" customFormat="1" ht="16.5" customHeight="1" thickBot="1">
      <c r="A25" s="202" t="s">
        <v>15</v>
      </c>
      <c r="B25" s="203" t="s">
        <v>16</v>
      </c>
      <c r="C25" s="204" t="s">
        <v>17</v>
      </c>
      <c r="D25" s="205"/>
      <c r="E25" s="206"/>
      <c r="F25" s="207"/>
      <c r="G25" s="208"/>
      <c r="H25" s="192"/>
      <c r="I25" s="192"/>
      <c r="J25" s="192"/>
      <c r="K25" s="192"/>
      <c r="L25" s="209"/>
      <c r="M25" s="209"/>
      <c r="N25" s="209"/>
      <c r="O25" s="209"/>
      <c r="P25" s="209"/>
      <c r="Q25" s="209"/>
      <c r="R25" s="209"/>
      <c r="T25" s="211"/>
    </row>
    <row r="26" spans="1:20" s="256" customFormat="1" ht="12.75">
      <c r="A26" s="248"/>
      <c r="B26" s="249"/>
      <c r="C26" s="250"/>
      <c r="D26" s="251"/>
      <c r="E26" s="215"/>
      <c r="F26" s="252"/>
      <c r="G26" s="253"/>
      <c r="H26" s="254"/>
      <c r="I26" s="137"/>
      <c r="J26" s="137"/>
      <c r="K26" s="137"/>
      <c r="L26" s="255"/>
      <c r="M26" s="255"/>
      <c r="N26" s="255"/>
      <c r="O26" s="255"/>
      <c r="P26" s="255"/>
      <c r="Q26" s="255"/>
      <c r="R26" s="255"/>
      <c r="T26" s="257"/>
    </row>
    <row r="27" spans="1:41" s="262" customFormat="1" ht="32.25" customHeight="1">
      <c r="A27" s="363" t="s">
        <v>136</v>
      </c>
      <c r="B27" s="227" t="s">
        <v>659</v>
      </c>
      <c r="C27" s="259" t="s">
        <v>879</v>
      </c>
      <c r="D27" s="260" t="s">
        <v>19</v>
      </c>
      <c r="E27" s="228">
        <f>SUM(D28)</f>
        <v>7.9968</v>
      </c>
      <c r="F27" s="228"/>
      <c r="G27" s="18">
        <f>$E27*F27</f>
        <v>0</v>
      </c>
      <c r="H27" s="230"/>
      <c r="I27" s="230"/>
      <c r="J27" s="230"/>
      <c r="K27" s="533"/>
      <c r="L27" s="261"/>
      <c r="M27" s="261"/>
      <c r="N27" s="261"/>
      <c r="O27" s="261"/>
      <c r="P27" s="261"/>
      <c r="Q27" s="261"/>
      <c r="R27" s="261"/>
      <c r="T27" s="263"/>
      <c r="X27" s="262">
        <f>IF(AB27=0,I27,0)</f>
        <v>0</v>
      </c>
      <c r="Y27" s="262">
        <f>IF(AB27=15,I27,0)</f>
        <v>0</v>
      </c>
      <c r="Z27" s="262">
        <f>IF(AB27=21,I27,0)</f>
        <v>0</v>
      </c>
      <c r="AB27" s="262">
        <v>21</v>
      </c>
      <c r="AC27" s="262">
        <f>F27*0</f>
        <v>0</v>
      </c>
      <c r="AD27" s="262">
        <f>F27*(1-0)</f>
        <v>0</v>
      </c>
      <c r="AK27" s="262">
        <f>E27*AC27</f>
        <v>0</v>
      </c>
      <c r="AL27" s="262">
        <f>E27*AD27</f>
        <v>0</v>
      </c>
      <c r="AM27" s="262" t="s">
        <v>74</v>
      </c>
      <c r="AN27" s="262" t="s">
        <v>75</v>
      </c>
      <c r="AO27" s="262" t="s">
        <v>76</v>
      </c>
    </row>
    <row r="28" spans="1:13" s="94" customFormat="1" ht="13.5" customHeight="1">
      <c r="A28" s="92"/>
      <c r="B28" s="325"/>
      <c r="C28" s="526" t="s">
        <v>658</v>
      </c>
      <c r="D28" s="522">
        <f>1.05*1.7*1*4*1.12</f>
        <v>7.9968</v>
      </c>
      <c r="E28" s="523"/>
      <c r="F28" s="93"/>
      <c r="G28" s="18"/>
      <c r="H28" s="326"/>
      <c r="I28" s="326"/>
      <c r="J28" s="326"/>
      <c r="K28" s="326"/>
      <c r="L28" s="525"/>
      <c r="M28" s="525"/>
    </row>
    <row r="29" spans="1:20" s="262" customFormat="1" ht="16.5" customHeight="1">
      <c r="A29" s="363" t="s">
        <v>137</v>
      </c>
      <c r="B29" s="227" t="s">
        <v>742</v>
      </c>
      <c r="C29" s="259" t="s">
        <v>743</v>
      </c>
      <c r="D29" s="260" t="s">
        <v>19</v>
      </c>
      <c r="E29" s="228">
        <f>SUM(D30)</f>
        <v>6.8</v>
      </c>
      <c r="F29" s="228"/>
      <c r="G29" s="18">
        <f aca="true" t="shared" si="2" ref="G29">$E29*F29</f>
        <v>0</v>
      </c>
      <c r="H29" s="230"/>
      <c r="I29" s="230"/>
      <c r="J29" s="230"/>
      <c r="K29" s="533"/>
      <c r="L29" s="261"/>
      <c r="M29" s="261"/>
      <c r="N29" s="261"/>
      <c r="O29" s="261"/>
      <c r="P29" s="261"/>
      <c r="Q29" s="261"/>
      <c r="R29" s="261"/>
      <c r="T29" s="263"/>
    </row>
    <row r="30" spans="1:20" s="31" customFormat="1" ht="17.25" customHeight="1">
      <c r="A30" s="92"/>
      <c r="B30" s="24"/>
      <c r="C30" s="25" t="s">
        <v>744</v>
      </c>
      <c r="D30" s="26">
        <f>8-(1*0.3*1*4)</f>
        <v>6.8</v>
      </c>
      <c r="E30" s="27"/>
      <c r="F30" s="27"/>
      <c r="G30" s="28"/>
      <c r="H30" s="41"/>
      <c r="I30" s="37"/>
      <c r="J30" s="41"/>
      <c r="K30" s="37"/>
      <c r="L30" s="42"/>
      <c r="M30" s="30"/>
      <c r="N30" s="30"/>
      <c r="O30" s="30"/>
      <c r="P30" s="30"/>
      <c r="Q30" s="30"/>
      <c r="R30" s="30"/>
      <c r="T30" s="32"/>
    </row>
    <row r="31" spans="1:20" s="50" customFormat="1" ht="11.25" customHeight="1" thickBot="1">
      <c r="A31" s="52"/>
      <c r="B31" s="53"/>
      <c r="C31" s="266"/>
      <c r="D31" s="54"/>
      <c r="E31" s="55"/>
      <c r="F31" s="56"/>
      <c r="G31" s="57"/>
      <c r="H31" s="48"/>
      <c r="I31" s="48"/>
      <c r="J31" s="48"/>
      <c r="K31" s="48"/>
      <c r="L31" s="49"/>
      <c r="M31" s="49"/>
      <c r="N31" s="267"/>
      <c r="O31" s="267"/>
      <c r="P31" s="268"/>
      <c r="Q31" s="269"/>
      <c r="R31" s="49"/>
      <c r="T31" s="51"/>
    </row>
    <row r="32" spans="1:20" s="99" customFormat="1" ht="16.5" customHeight="1" thickBot="1">
      <c r="A32" s="237"/>
      <c r="B32" s="238"/>
      <c r="C32" s="239" t="s">
        <v>24</v>
      </c>
      <c r="D32" s="240"/>
      <c r="E32" s="241"/>
      <c r="F32" s="242"/>
      <c r="G32" s="243">
        <f>SUBTOTAL(9,G26:G31)</f>
        <v>0</v>
      </c>
      <c r="H32" s="119"/>
      <c r="I32" s="192"/>
      <c r="J32" s="119"/>
      <c r="K32" s="119"/>
      <c r="L32" s="98"/>
      <c r="M32" s="98"/>
      <c r="N32" s="98"/>
      <c r="O32" s="98"/>
      <c r="P32" s="98"/>
      <c r="Q32" s="98"/>
      <c r="R32" s="98"/>
      <c r="T32" s="100"/>
    </row>
    <row r="33" spans="1:20" s="99" customFormat="1" ht="13.5" customHeight="1" thickBot="1">
      <c r="A33" s="244"/>
      <c r="B33" s="245"/>
      <c r="C33" s="246"/>
      <c r="D33" s="246"/>
      <c r="E33" s="247"/>
      <c r="F33" s="200"/>
      <c r="G33" s="201"/>
      <c r="H33" s="119"/>
      <c r="I33" s="119"/>
      <c r="J33" s="119"/>
      <c r="K33" s="119"/>
      <c r="L33" s="98"/>
      <c r="M33" s="98"/>
      <c r="N33" s="98"/>
      <c r="O33" s="98"/>
      <c r="P33" s="98"/>
      <c r="Q33" s="98"/>
      <c r="R33" s="98"/>
      <c r="T33" s="100"/>
    </row>
    <row r="34" spans="1:20" s="210" customFormat="1" ht="16.5" customHeight="1" thickBot="1">
      <c r="A34" s="202" t="s">
        <v>25</v>
      </c>
      <c r="B34" s="203" t="s">
        <v>56</v>
      </c>
      <c r="C34" s="204" t="s">
        <v>710</v>
      </c>
      <c r="D34" s="205"/>
      <c r="E34" s="206"/>
      <c r="F34" s="207"/>
      <c r="G34" s="208"/>
      <c r="H34" s="192"/>
      <c r="I34" s="192"/>
      <c r="J34" s="192"/>
      <c r="K34" s="192"/>
      <c r="L34" s="209"/>
      <c r="M34" s="209"/>
      <c r="N34" s="209"/>
      <c r="O34" s="209"/>
      <c r="P34" s="209"/>
      <c r="Q34" s="209"/>
      <c r="R34" s="209"/>
      <c r="T34" s="211"/>
    </row>
    <row r="35" spans="1:20" s="256" customFormat="1" ht="12.75">
      <c r="A35" s="248"/>
      <c r="B35" s="249"/>
      <c r="C35" s="250"/>
      <c r="D35" s="251"/>
      <c r="E35" s="215"/>
      <c r="F35" s="252"/>
      <c r="G35" s="253"/>
      <c r="H35" s="254"/>
      <c r="I35" s="137"/>
      <c r="J35" s="137"/>
      <c r="K35" s="137"/>
      <c r="L35" s="255"/>
      <c r="M35" s="255"/>
      <c r="N35" s="255"/>
      <c r="O35" s="255"/>
      <c r="P35" s="255"/>
      <c r="Q35" s="255"/>
      <c r="R35" s="255"/>
      <c r="T35" s="257"/>
    </row>
    <row r="36" spans="1:20" s="171" customFormat="1" ht="20.25" customHeight="1">
      <c r="A36" s="363" t="s">
        <v>142</v>
      </c>
      <c r="B36" s="344" t="s">
        <v>78</v>
      </c>
      <c r="C36" s="366" t="s">
        <v>77</v>
      </c>
      <c r="D36" s="382" t="s">
        <v>50</v>
      </c>
      <c r="E36" s="55">
        <v>1</v>
      </c>
      <c r="F36" s="368"/>
      <c r="G36" s="18">
        <f aca="true" t="shared" si="3" ref="G36:G40">$E36*F36</f>
        <v>0</v>
      </c>
      <c r="H36" s="254"/>
      <c r="I36" s="137"/>
      <c r="J36" s="137"/>
      <c r="K36" s="137"/>
      <c r="L36" s="170"/>
      <c r="M36" s="170"/>
      <c r="N36" s="170"/>
      <c r="O36" s="170"/>
      <c r="P36" s="170"/>
      <c r="Q36" s="170"/>
      <c r="R36" s="170"/>
      <c r="T36" s="172"/>
    </row>
    <row r="37" spans="1:20" s="171" customFormat="1" ht="13.5" customHeight="1">
      <c r="A37" s="363"/>
      <c r="B37" s="344"/>
      <c r="C37" s="366"/>
      <c r="D37" s="382"/>
      <c r="E37" s="55"/>
      <c r="F37" s="368"/>
      <c r="G37" s="18"/>
      <c r="H37" s="254"/>
      <c r="I37" s="137"/>
      <c r="J37" s="137"/>
      <c r="K37" s="137"/>
      <c r="L37" s="170"/>
      <c r="M37" s="170"/>
      <c r="N37" s="170"/>
      <c r="O37" s="170"/>
      <c r="P37" s="170"/>
      <c r="Q37" s="170"/>
      <c r="R37" s="170"/>
      <c r="T37" s="172"/>
    </row>
    <row r="38" spans="1:20" s="171" customFormat="1" ht="20.25" customHeight="1">
      <c r="A38" s="363" t="s">
        <v>143</v>
      </c>
      <c r="B38" s="344" t="s">
        <v>661</v>
      </c>
      <c r="C38" s="366" t="s">
        <v>660</v>
      </c>
      <c r="D38" s="382" t="s">
        <v>19</v>
      </c>
      <c r="E38" s="228">
        <f>SUM(D39)</f>
        <v>1.2</v>
      </c>
      <c r="F38" s="368"/>
      <c r="G38" s="18">
        <f t="shared" si="3"/>
        <v>0</v>
      </c>
      <c r="H38" s="536">
        <v>2.525</v>
      </c>
      <c r="I38" s="230">
        <f>E38*H38</f>
        <v>3.03</v>
      </c>
      <c r="J38" s="137"/>
      <c r="K38" s="137"/>
      <c r="L38" s="170"/>
      <c r="M38" s="170"/>
      <c r="N38" s="170"/>
      <c r="O38" s="170"/>
      <c r="P38" s="170"/>
      <c r="Q38" s="170"/>
      <c r="R38" s="170"/>
      <c r="T38" s="172"/>
    </row>
    <row r="39" spans="1:13" s="94" customFormat="1" ht="13.5" customHeight="1">
      <c r="A39" s="363"/>
      <c r="B39" s="325"/>
      <c r="C39" s="526" t="s">
        <v>662</v>
      </c>
      <c r="D39" s="522">
        <f>0.3*1*1*4</f>
        <v>1.2</v>
      </c>
      <c r="E39" s="523"/>
      <c r="F39" s="93"/>
      <c r="G39" s="524"/>
      <c r="H39" s="326"/>
      <c r="I39" s="326"/>
      <c r="J39" s="326"/>
      <c r="K39" s="326"/>
      <c r="L39" s="525"/>
      <c r="M39" s="525"/>
    </row>
    <row r="40" spans="1:27" s="373" customFormat="1" ht="40.5" customHeight="1">
      <c r="A40" s="363" t="s">
        <v>26</v>
      </c>
      <c r="B40" s="365" t="s">
        <v>149</v>
      </c>
      <c r="C40" s="366" t="s">
        <v>670</v>
      </c>
      <c r="D40" s="367" t="s">
        <v>18</v>
      </c>
      <c r="E40" s="55">
        <f>SUM(D41:D41)</f>
        <v>19.5</v>
      </c>
      <c r="F40" s="368"/>
      <c r="G40" s="18">
        <f t="shared" si="3"/>
        <v>0</v>
      </c>
      <c r="H40" s="230">
        <v>2.645</v>
      </c>
      <c r="I40" s="230">
        <f>E40*H40</f>
        <v>51.5775</v>
      </c>
      <c r="J40" s="369"/>
      <c r="K40" s="369"/>
      <c r="L40" s="369"/>
      <c r="M40" s="369"/>
      <c r="N40" s="369"/>
      <c r="O40" s="370"/>
      <c r="P40" s="370"/>
      <c r="Q40" s="370"/>
      <c r="R40" s="370"/>
      <c r="S40" s="370"/>
      <c r="T40" s="371"/>
      <c r="U40" s="371"/>
      <c r="V40" s="372"/>
      <c r="W40" s="372"/>
      <c r="X40" s="372"/>
      <c r="Y40" s="372"/>
      <c r="Z40" s="372"/>
      <c r="AA40" s="372"/>
    </row>
    <row r="41" spans="1:20" s="31" customFormat="1" ht="15.75" customHeight="1">
      <c r="A41" s="363"/>
      <c r="B41" s="24" t="s">
        <v>126</v>
      </c>
      <c r="C41" s="25">
        <v>19.5</v>
      </c>
      <c r="D41" s="26">
        <f>19.5</f>
        <v>19.5</v>
      </c>
      <c r="E41" s="27"/>
      <c r="F41" s="27"/>
      <c r="G41" s="28"/>
      <c r="H41" s="29"/>
      <c r="I41" s="29"/>
      <c r="J41" s="29"/>
      <c r="K41" s="29"/>
      <c r="L41" s="30"/>
      <c r="M41" s="30"/>
      <c r="N41" s="30"/>
      <c r="O41" s="30"/>
      <c r="P41" s="30"/>
      <c r="Q41" s="30"/>
      <c r="R41" s="30"/>
      <c r="T41" s="32"/>
    </row>
    <row r="42" spans="1:20" s="262" customFormat="1" ht="19.5" customHeight="1">
      <c r="A42" s="363" t="s">
        <v>144</v>
      </c>
      <c r="B42" s="227" t="s">
        <v>664</v>
      </c>
      <c r="C42" s="259" t="s">
        <v>935</v>
      </c>
      <c r="D42" s="260" t="s">
        <v>23</v>
      </c>
      <c r="E42" s="228">
        <f>2.34*0.12</f>
        <v>0.2808</v>
      </c>
      <c r="F42" s="228"/>
      <c r="G42" s="218">
        <f>$E42*F42</f>
        <v>0</v>
      </c>
      <c r="H42" s="230">
        <v>1.05544</v>
      </c>
      <c r="I42" s="230">
        <f>E42*H42</f>
        <v>0.296367552</v>
      </c>
      <c r="J42" s="230"/>
      <c r="K42" s="230"/>
      <c r="L42" s="261"/>
      <c r="M42" s="261"/>
      <c r="N42" s="261"/>
      <c r="O42" s="261"/>
      <c r="P42" s="261"/>
      <c r="Q42" s="261"/>
      <c r="R42" s="261"/>
      <c r="T42" s="263"/>
    </row>
    <row r="43" spans="1:20" s="225" customFormat="1" ht="12.75">
      <c r="A43" s="363"/>
      <c r="B43" s="220"/>
      <c r="C43" s="264"/>
      <c r="D43" s="221"/>
      <c r="E43" s="265"/>
      <c r="F43" s="221"/>
      <c r="G43" s="222"/>
      <c r="H43" s="223"/>
      <c r="I43" s="223"/>
      <c r="J43" s="223"/>
      <c r="K43" s="223"/>
      <c r="L43" s="224"/>
      <c r="M43" s="224"/>
      <c r="N43" s="224"/>
      <c r="O43" s="224"/>
      <c r="P43" s="224"/>
      <c r="Q43" s="224"/>
      <c r="R43" s="224"/>
      <c r="T43" s="226"/>
    </row>
    <row r="44" spans="1:20" s="262" customFormat="1" ht="16.5" customHeight="1">
      <c r="A44" s="363" t="s">
        <v>145</v>
      </c>
      <c r="B44" s="227" t="s">
        <v>150</v>
      </c>
      <c r="C44" s="259" t="s">
        <v>127</v>
      </c>
      <c r="D44" s="260" t="s">
        <v>18</v>
      </c>
      <c r="E44" s="228">
        <f>SUM(D45)</f>
        <v>2.9519999999999995</v>
      </c>
      <c r="F44" s="228"/>
      <c r="G44" s="218">
        <f aca="true" t="shared" si="4" ref="G44">$E44*F44</f>
        <v>0</v>
      </c>
      <c r="H44" s="230">
        <v>0.03916</v>
      </c>
      <c r="I44" s="230">
        <f aca="true" t="shared" si="5" ref="I44">E44*H44</f>
        <v>0.11560031999999998</v>
      </c>
      <c r="J44" s="230"/>
      <c r="K44" s="230"/>
      <c r="L44" s="261"/>
      <c r="M44" s="261"/>
      <c r="N44" s="261"/>
      <c r="O44" s="261"/>
      <c r="P44" s="261"/>
      <c r="Q44" s="261"/>
      <c r="R44" s="261"/>
      <c r="T44" s="263"/>
    </row>
    <row r="45" spans="1:20" s="225" customFormat="1" ht="20.25" customHeight="1">
      <c r="A45" s="363"/>
      <c r="B45" s="220"/>
      <c r="C45" s="264" t="s">
        <v>663</v>
      </c>
      <c r="D45" s="221">
        <f>(27.9-1.65*2)*0.12</f>
        <v>2.9519999999999995</v>
      </c>
      <c r="E45" s="265"/>
      <c r="F45" s="221"/>
      <c r="G45" s="222"/>
      <c r="H45" s="223"/>
      <c r="I45" s="223"/>
      <c r="J45" s="223"/>
      <c r="K45" s="223"/>
      <c r="L45" s="224"/>
      <c r="M45" s="224"/>
      <c r="N45" s="224"/>
      <c r="O45" s="224"/>
      <c r="P45" s="224"/>
      <c r="Q45" s="224"/>
      <c r="R45" s="224"/>
      <c r="T45" s="226"/>
    </row>
    <row r="46" spans="1:20" s="262" customFormat="1" ht="16.5" customHeight="1">
      <c r="A46" s="363" t="s">
        <v>146</v>
      </c>
      <c r="B46" s="227" t="s">
        <v>151</v>
      </c>
      <c r="C46" s="259" t="s">
        <v>128</v>
      </c>
      <c r="D46" s="260" t="s">
        <v>18</v>
      </c>
      <c r="E46" s="228">
        <f>SUM(E44)</f>
        <v>2.9519999999999995</v>
      </c>
      <c r="F46" s="228"/>
      <c r="G46" s="218">
        <f aca="true" t="shared" si="6" ref="G46:G50">$E46*F46</f>
        <v>0</v>
      </c>
      <c r="H46" s="230">
        <v>0</v>
      </c>
      <c r="I46" s="230">
        <f aca="true" t="shared" si="7" ref="I46:I50">E46*H46</f>
        <v>0</v>
      </c>
      <c r="J46" s="230"/>
      <c r="K46" s="230"/>
      <c r="L46" s="261"/>
      <c r="M46" s="261"/>
      <c r="N46" s="261"/>
      <c r="O46" s="261"/>
      <c r="P46" s="261"/>
      <c r="Q46" s="261"/>
      <c r="R46" s="261"/>
      <c r="T46" s="263"/>
    </row>
    <row r="47" spans="1:20" s="262" customFormat="1" ht="16.5" customHeight="1">
      <c r="A47" s="363"/>
      <c r="B47" s="571"/>
      <c r="C47" s="589"/>
      <c r="D47" s="559"/>
      <c r="E47" s="573"/>
      <c r="F47" s="573"/>
      <c r="G47" s="635"/>
      <c r="H47" s="230"/>
      <c r="I47" s="230"/>
      <c r="J47" s="230"/>
      <c r="K47" s="230"/>
      <c r="L47" s="261"/>
      <c r="M47" s="261"/>
      <c r="N47" s="261"/>
      <c r="O47" s="261"/>
      <c r="P47" s="261"/>
      <c r="Q47" s="261"/>
      <c r="R47" s="261"/>
      <c r="T47" s="263"/>
    </row>
    <row r="48" spans="1:20" s="262" customFormat="1" ht="33" customHeight="1">
      <c r="A48" s="363" t="s">
        <v>262</v>
      </c>
      <c r="B48" s="571" t="s">
        <v>665</v>
      </c>
      <c r="C48" s="589" t="s">
        <v>666</v>
      </c>
      <c r="D48" s="559" t="s">
        <v>18</v>
      </c>
      <c r="E48" s="573">
        <f>SUM(D49)</f>
        <v>2.03</v>
      </c>
      <c r="F48" s="573"/>
      <c r="G48" s="218">
        <f t="shared" si="6"/>
        <v>0</v>
      </c>
      <c r="H48" s="230">
        <v>0.59</v>
      </c>
      <c r="I48" s="230">
        <f t="shared" si="7"/>
        <v>1.1976999999999998</v>
      </c>
      <c r="J48" s="230"/>
      <c r="K48" s="230"/>
      <c r="L48" s="261"/>
      <c r="M48" s="261"/>
      <c r="N48" s="261"/>
      <c r="O48" s="261"/>
      <c r="P48" s="261"/>
      <c r="Q48" s="261"/>
      <c r="R48" s="261"/>
      <c r="T48" s="263"/>
    </row>
    <row r="49" spans="1:20" s="225" customFormat="1" ht="20.25" customHeight="1">
      <c r="A49" s="363"/>
      <c r="B49" s="220"/>
      <c r="C49" s="264" t="s">
        <v>668</v>
      </c>
      <c r="D49" s="221">
        <f>1.65*0.7+1.25*0.35*2</f>
        <v>2.03</v>
      </c>
      <c r="E49" s="265"/>
      <c r="F49" s="221"/>
      <c r="G49" s="222"/>
      <c r="H49" s="223"/>
      <c r="I49" s="223"/>
      <c r="J49" s="223"/>
      <c r="K49" s="223"/>
      <c r="L49" s="224"/>
      <c r="M49" s="224"/>
      <c r="N49" s="224"/>
      <c r="O49" s="224"/>
      <c r="P49" s="224"/>
      <c r="Q49" s="224"/>
      <c r="R49" s="224"/>
      <c r="T49" s="226"/>
    </row>
    <row r="50" spans="1:20" s="262" customFormat="1" ht="16.5" customHeight="1">
      <c r="A50" s="363" t="s">
        <v>263</v>
      </c>
      <c r="B50" s="571" t="s">
        <v>667</v>
      </c>
      <c r="C50" s="589" t="s">
        <v>671</v>
      </c>
      <c r="D50" s="559" t="s">
        <v>19</v>
      </c>
      <c r="E50" s="573">
        <f>SUM(D51)</f>
        <v>0.37374999999999997</v>
      </c>
      <c r="F50" s="573"/>
      <c r="G50" s="218">
        <f t="shared" si="6"/>
        <v>0</v>
      </c>
      <c r="H50" s="230">
        <v>1.837</v>
      </c>
      <c r="I50" s="230">
        <f t="shared" si="7"/>
        <v>0.6865787499999999</v>
      </c>
      <c r="J50" s="230"/>
      <c r="K50" s="230"/>
      <c r="L50" s="261"/>
      <c r="M50" s="261"/>
      <c r="N50" s="261"/>
      <c r="O50" s="261"/>
      <c r="P50" s="261"/>
      <c r="Q50" s="261"/>
      <c r="R50" s="261"/>
      <c r="T50" s="263"/>
    </row>
    <row r="51" spans="1:20" s="225" customFormat="1" ht="20.25" customHeight="1">
      <c r="A51" s="363"/>
      <c r="B51" s="220"/>
      <c r="C51" s="264" t="s">
        <v>669</v>
      </c>
      <c r="D51" s="221">
        <f>1.15*0.325</f>
        <v>0.37374999999999997</v>
      </c>
      <c r="E51" s="265"/>
      <c r="F51" s="221"/>
      <c r="G51" s="222"/>
      <c r="H51" s="223"/>
      <c r="I51" s="223"/>
      <c r="J51" s="223"/>
      <c r="K51" s="223"/>
      <c r="L51" s="224"/>
      <c r="M51" s="224"/>
      <c r="N51" s="224"/>
      <c r="O51" s="224"/>
      <c r="P51" s="224"/>
      <c r="Q51" s="224"/>
      <c r="R51" s="224"/>
      <c r="T51" s="226"/>
    </row>
    <row r="52" spans="1:20" s="256" customFormat="1" ht="13.5" thickBot="1">
      <c r="A52" s="270"/>
      <c r="B52" s="271"/>
      <c r="C52" s="272"/>
      <c r="D52" s="273"/>
      <c r="E52" s="236"/>
      <c r="F52" s="274"/>
      <c r="G52" s="275"/>
      <c r="H52" s="137"/>
      <c r="I52" s="137"/>
      <c r="J52" s="137"/>
      <c r="K52" s="137"/>
      <c r="L52" s="255"/>
      <c r="M52" s="255"/>
      <c r="N52" s="255"/>
      <c r="O52" s="255"/>
      <c r="P52" s="255"/>
      <c r="Q52" s="255"/>
      <c r="R52" s="255"/>
      <c r="T52" s="257"/>
    </row>
    <row r="53" spans="1:20" s="99" customFormat="1" ht="16.5" customHeight="1" thickBot="1">
      <c r="A53" s="237"/>
      <c r="B53" s="238"/>
      <c r="C53" s="239" t="s">
        <v>24</v>
      </c>
      <c r="D53" s="276"/>
      <c r="E53" s="277"/>
      <c r="F53" s="278"/>
      <c r="G53" s="243">
        <f>SUBTOTAL(9,G35:G52)</f>
        <v>0</v>
      </c>
      <c r="H53" s="119"/>
      <c r="I53" s="192">
        <f>SUM(I35:I52)</f>
        <v>56.903746622</v>
      </c>
      <c r="J53" s="119"/>
      <c r="K53" s="119"/>
      <c r="L53" s="98"/>
      <c r="M53" s="98"/>
      <c r="N53" s="98"/>
      <c r="O53" s="98"/>
      <c r="P53" s="98"/>
      <c r="Q53" s="98"/>
      <c r="R53" s="98"/>
      <c r="T53" s="100"/>
    </row>
    <row r="54" spans="1:20" s="99" customFormat="1" ht="13.5" customHeight="1" thickBot="1">
      <c r="A54" s="244"/>
      <c r="B54" s="245"/>
      <c r="C54" s="246"/>
      <c r="D54" s="279"/>
      <c r="E54" s="280"/>
      <c r="F54" s="281"/>
      <c r="G54" s="201"/>
      <c r="H54" s="119"/>
      <c r="I54" s="119"/>
      <c r="J54" s="119"/>
      <c r="K54" s="119"/>
      <c r="L54" s="98"/>
      <c r="M54" s="98"/>
      <c r="N54" s="98"/>
      <c r="O54" s="98"/>
      <c r="P54" s="98"/>
      <c r="Q54" s="98"/>
      <c r="R54" s="98"/>
      <c r="T54" s="100"/>
    </row>
    <row r="55" spans="1:20" s="210" customFormat="1" ht="16.5" customHeight="1" thickBot="1">
      <c r="A55" s="202" t="s">
        <v>13</v>
      </c>
      <c r="B55" s="203" t="s">
        <v>58</v>
      </c>
      <c r="C55" s="204" t="s">
        <v>709</v>
      </c>
      <c r="D55" s="205"/>
      <c r="E55" s="206"/>
      <c r="F55" s="207"/>
      <c r="G55" s="208"/>
      <c r="H55" s="192"/>
      <c r="I55" s="192"/>
      <c r="J55" s="192"/>
      <c r="K55" s="192"/>
      <c r="L55" s="209"/>
      <c r="M55" s="209"/>
      <c r="N55" s="209"/>
      <c r="O55" s="209"/>
      <c r="P55" s="209"/>
      <c r="Q55" s="209"/>
      <c r="R55" s="209"/>
      <c r="T55" s="211"/>
    </row>
    <row r="56" spans="1:20" s="79" customFormat="1" ht="12.75">
      <c r="A56" s="70"/>
      <c r="B56" s="71"/>
      <c r="C56" s="72"/>
      <c r="D56" s="73"/>
      <c r="E56" s="74"/>
      <c r="F56" s="75"/>
      <c r="G56" s="76"/>
      <c r="H56" s="77"/>
      <c r="I56" s="77"/>
      <c r="J56" s="77"/>
      <c r="K56" s="77"/>
      <c r="L56" s="78"/>
      <c r="M56" s="78"/>
      <c r="N56" s="78"/>
      <c r="O56" s="78"/>
      <c r="P56" s="78"/>
      <c r="Q56" s="78"/>
      <c r="R56" s="78"/>
      <c r="T56" s="80"/>
    </row>
    <row r="57" spans="1:20" s="59" customFormat="1" ht="18" customHeight="1">
      <c r="A57" s="12" t="s">
        <v>28</v>
      </c>
      <c r="B57" s="33" t="s">
        <v>55</v>
      </c>
      <c r="C57" s="14" t="s">
        <v>1023</v>
      </c>
      <c r="D57" s="15" t="s">
        <v>23</v>
      </c>
      <c r="E57" s="17">
        <f>SUM(D58)</f>
        <v>0.60077</v>
      </c>
      <c r="F57" s="17"/>
      <c r="G57" s="18">
        <f>$E57*F57</f>
        <v>0</v>
      </c>
      <c r="H57" s="19">
        <v>0.01954</v>
      </c>
      <c r="I57" s="19">
        <f>E57*H57</f>
        <v>0.0117390458</v>
      </c>
      <c r="J57" s="19"/>
      <c r="K57" s="37"/>
      <c r="L57" s="58"/>
      <c r="M57" s="20"/>
      <c r="N57" s="20"/>
      <c r="O57" s="20"/>
      <c r="P57" s="20"/>
      <c r="Q57" s="20"/>
      <c r="R57" s="20"/>
      <c r="T57" s="60"/>
    </row>
    <row r="58" spans="1:20" s="67" customFormat="1" ht="15.75" customHeight="1">
      <c r="A58" s="61"/>
      <c r="B58" s="220" t="s">
        <v>926</v>
      </c>
      <c r="C58" s="62" t="s">
        <v>927</v>
      </c>
      <c r="D58" s="26">
        <f>(373+43.01+184.76)*0.001</f>
        <v>0.60077</v>
      </c>
      <c r="E58" s="63"/>
      <c r="F58" s="63"/>
      <c r="G58" s="64"/>
      <c r="H58" s="65"/>
      <c r="I58" s="65"/>
      <c r="J58" s="65"/>
      <c r="K58" s="65"/>
      <c r="L58" s="66"/>
      <c r="M58" s="66"/>
      <c r="N58" s="66"/>
      <c r="O58" s="66"/>
      <c r="P58" s="66"/>
      <c r="Q58" s="66"/>
      <c r="R58" s="66"/>
      <c r="T58" s="68"/>
    </row>
    <row r="59" spans="1:20" s="262" customFormat="1" ht="19.5" customHeight="1">
      <c r="A59" s="258" t="s">
        <v>29</v>
      </c>
      <c r="B59" s="33" t="s">
        <v>54</v>
      </c>
      <c r="C59" s="259" t="s">
        <v>1024</v>
      </c>
      <c r="D59" s="260" t="s">
        <v>23</v>
      </c>
      <c r="E59" s="228">
        <f>SUM(D60)</f>
        <v>0.62534</v>
      </c>
      <c r="F59" s="228"/>
      <c r="G59" s="218">
        <f>$E59*F59</f>
        <v>0</v>
      </c>
      <c r="H59" s="230">
        <v>0.01709</v>
      </c>
      <c r="I59" s="230">
        <f>E59*H59</f>
        <v>0.010687060600000001</v>
      </c>
      <c r="J59" s="230"/>
      <c r="K59" s="230"/>
      <c r="L59" s="261"/>
      <c r="M59" s="261"/>
      <c r="N59" s="261"/>
      <c r="O59" s="261"/>
      <c r="P59" s="261"/>
      <c r="Q59" s="261"/>
      <c r="R59" s="261"/>
      <c r="T59" s="263"/>
    </row>
    <row r="60" spans="1:20" s="225" customFormat="1" ht="19.5" customHeight="1">
      <c r="A60" s="219"/>
      <c r="B60" s="220" t="s">
        <v>928</v>
      </c>
      <c r="C60" s="264" t="s">
        <v>929</v>
      </c>
      <c r="D60" s="221">
        <f>(389.44+235.9)*0.001</f>
        <v>0.62534</v>
      </c>
      <c r="E60" s="265"/>
      <c r="F60" s="221"/>
      <c r="G60" s="222"/>
      <c r="H60" s="223"/>
      <c r="I60" s="223"/>
      <c r="J60" s="223"/>
      <c r="K60" s="223"/>
      <c r="L60" s="224"/>
      <c r="M60" s="224"/>
      <c r="N60" s="224"/>
      <c r="O60" s="224"/>
      <c r="P60" s="224"/>
      <c r="Q60" s="224"/>
      <c r="R60" s="224"/>
      <c r="T60" s="226"/>
    </row>
    <row r="61" spans="1:20" s="655" customFormat="1" ht="18.75" customHeight="1">
      <c r="A61" s="644" t="s">
        <v>30</v>
      </c>
      <c r="B61" s="645"/>
      <c r="C61" s="646" t="s">
        <v>116</v>
      </c>
      <c r="D61" s="647" t="s">
        <v>104</v>
      </c>
      <c r="E61" s="648">
        <f>SUM(E62:E78)</f>
        <v>1226.1103999999998</v>
      </c>
      <c r="F61" s="649"/>
      <c r="G61" s="650">
        <f>$E61*F61</f>
        <v>0</v>
      </c>
      <c r="H61" s="651">
        <f>0.001</f>
        <v>0.001</v>
      </c>
      <c r="I61" s="652">
        <f>E61*H61</f>
        <v>1.2261103999999998</v>
      </c>
      <c r="J61" s="653"/>
      <c r="K61" s="653"/>
      <c r="L61" s="654"/>
      <c r="M61" s="654"/>
      <c r="N61" s="654"/>
      <c r="O61" s="654"/>
      <c r="P61" s="654"/>
      <c r="Q61" s="654"/>
      <c r="R61" s="654"/>
      <c r="T61" s="656"/>
    </row>
    <row r="62" spans="1:20" s="256" customFormat="1" ht="18.75" customHeight="1">
      <c r="A62" s="301" t="s">
        <v>897</v>
      </c>
      <c r="B62" s="331" t="s">
        <v>675</v>
      </c>
      <c r="C62" s="332" t="s">
        <v>691</v>
      </c>
      <c r="D62" s="333" t="s">
        <v>104</v>
      </c>
      <c r="E62" s="334">
        <v>45.924</v>
      </c>
      <c r="F62" s="335"/>
      <c r="G62" s="34"/>
      <c r="H62" s="283"/>
      <c r="I62" s="283"/>
      <c r="J62" s="283"/>
      <c r="K62" s="283"/>
      <c r="L62" s="255"/>
      <c r="M62" s="255"/>
      <c r="N62" s="255"/>
      <c r="O62" s="255"/>
      <c r="P62" s="255"/>
      <c r="Q62" s="255"/>
      <c r="R62" s="255"/>
      <c r="T62" s="257"/>
    </row>
    <row r="63" spans="1:20" s="256" customFormat="1" ht="18.75" customHeight="1">
      <c r="A63" s="301" t="s">
        <v>898</v>
      </c>
      <c r="B63" s="331" t="s">
        <v>676</v>
      </c>
      <c r="C63" s="332" t="s">
        <v>692</v>
      </c>
      <c r="D63" s="333" t="s">
        <v>104</v>
      </c>
      <c r="E63" s="334">
        <v>49.128</v>
      </c>
      <c r="F63" s="335"/>
      <c r="G63" s="34"/>
      <c r="H63" s="283"/>
      <c r="I63" s="283"/>
      <c r="J63" s="283"/>
      <c r="K63" s="283"/>
      <c r="L63" s="255"/>
      <c r="M63" s="255"/>
      <c r="N63" s="255"/>
      <c r="O63" s="255"/>
      <c r="P63" s="255"/>
      <c r="Q63" s="255"/>
      <c r="R63" s="255"/>
      <c r="T63" s="257"/>
    </row>
    <row r="64" spans="1:20" s="256" customFormat="1" ht="18.75" customHeight="1">
      <c r="A64" s="301" t="s">
        <v>899</v>
      </c>
      <c r="B64" s="331" t="s">
        <v>677</v>
      </c>
      <c r="C64" s="332" t="s">
        <v>693</v>
      </c>
      <c r="D64" s="333" t="s">
        <v>104</v>
      </c>
      <c r="E64" s="334">
        <v>52.332</v>
      </c>
      <c r="F64" s="335"/>
      <c r="G64" s="34"/>
      <c r="H64" s="283"/>
      <c r="I64" s="283"/>
      <c r="J64" s="283"/>
      <c r="K64" s="283"/>
      <c r="L64" s="255"/>
      <c r="M64" s="255"/>
      <c r="N64" s="255"/>
      <c r="O64" s="255"/>
      <c r="P64" s="255"/>
      <c r="Q64" s="255"/>
      <c r="R64" s="255"/>
      <c r="T64" s="257"/>
    </row>
    <row r="65" spans="1:20" s="256" customFormat="1" ht="18.75" customHeight="1">
      <c r="A65" s="301" t="s">
        <v>900</v>
      </c>
      <c r="B65" s="331" t="s">
        <v>678</v>
      </c>
      <c r="C65" s="332" t="s">
        <v>694</v>
      </c>
      <c r="D65" s="333" t="s">
        <v>104</v>
      </c>
      <c r="E65" s="334">
        <v>55.536</v>
      </c>
      <c r="F65" s="335"/>
      <c r="G65" s="34"/>
      <c r="H65" s="283"/>
      <c r="I65" s="283"/>
      <c r="J65" s="283"/>
      <c r="K65" s="283"/>
      <c r="L65" s="255"/>
      <c r="M65" s="255"/>
      <c r="N65" s="255"/>
      <c r="O65" s="255"/>
      <c r="P65" s="255"/>
      <c r="Q65" s="255"/>
      <c r="R65" s="255"/>
      <c r="T65" s="257"/>
    </row>
    <row r="66" spans="1:20" s="256" customFormat="1" ht="18.75" customHeight="1">
      <c r="A66" s="301" t="s">
        <v>901</v>
      </c>
      <c r="B66" s="331" t="s">
        <v>679</v>
      </c>
      <c r="C66" s="332" t="s">
        <v>695</v>
      </c>
      <c r="D66" s="333" t="s">
        <v>104</v>
      </c>
      <c r="E66" s="334">
        <v>127.35900000000001</v>
      </c>
      <c r="F66" s="335"/>
      <c r="G66" s="34"/>
      <c r="H66" s="283"/>
      <c r="I66" s="283"/>
      <c r="J66" s="283"/>
      <c r="K66" s="283"/>
      <c r="L66" s="255"/>
      <c r="M66" s="255"/>
      <c r="N66" s="255"/>
      <c r="O66" s="255"/>
      <c r="P66" s="255"/>
      <c r="Q66" s="255"/>
      <c r="R66" s="255"/>
      <c r="T66" s="257"/>
    </row>
    <row r="67" spans="1:20" s="256" customFormat="1" ht="18.75" customHeight="1">
      <c r="A67" s="301" t="s">
        <v>902</v>
      </c>
      <c r="B67" s="331" t="s">
        <v>680</v>
      </c>
      <c r="C67" s="332" t="s">
        <v>696</v>
      </c>
      <c r="D67" s="333" t="s">
        <v>104</v>
      </c>
      <c r="E67" s="334">
        <v>42.72</v>
      </c>
      <c r="F67" s="335"/>
      <c r="G67" s="34"/>
      <c r="H67" s="283"/>
      <c r="I67" s="283"/>
      <c r="J67" s="283"/>
      <c r="K67" s="283"/>
      <c r="L67" s="255"/>
      <c r="M67" s="255"/>
      <c r="N67" s="255"/>
      <c r="O67" s="255"/>
      <c r="P67" s="255"/>
      <c r="Q67" s="255"/>
      <c r="R67" s="255"/>
      <c r="T67" s="257"/>
    </row>
    <row r="68" spans="1:20" s="256" customFormat="1" ht="18.75" customHeight="1">
      <c r="A68" s="301" t="s">
        <v>903</v>
      </c>
      <c r="B68" s="331" t="s">
        <v>681</v>
      </c>
      <c r="C68" s="332" t="s">
        <v>697</v>
      </c>
      <c r="D68" s="333" t="s">
        <v>104</v>
      </c>
      <c r="E68" s="334">
        <v>21.306</v>
      </c>
      <c r="F68" s="335"/>
      <c r="G68" s="34"/>
      <c r="H68" s="283"/>
      <c r="I68" s="283"/>
      <c r="J68" s="283"/>
      <c r="K68" s="283"/>
      <c r="L68" s="255"/>
      <c r="M68" s="255"/>
      <c r="N68" s="255"/>
      <c r="O68" s="255"/>
      <c r="P68" s="255"/>
      <c r="Q68" s="255"/>
      <c r="R68" s="255"/>
      <c r="T68" s="257"/>
    </row>
    <row r="69" spans="1:20" s="256" customFormat="1" ht="18.75" customHeight="1">
      <c r="A69" s="301" t="s">
        <v>904</v>
      </c>
      <c r="B69" s="331" t="s">
        <v>682</v>
      </c>
      <c r="C69" s="332" t="s">
        <v>698</v>
      </c>
      <c r="D69" s="333" t="s">
        <v>104</v>
      </c>
      <c r="E69" s="334">
        <v>21.708000000000002</v>
      </c>
      <c r="F69" s="335"/>
      <c r="G69" s="34"/>
      <c r="H69" s="283"/>
      <c r="I69" s="283"/>
      <c r="J69" s="283"/>
      <c r="K69" s="283"/>
      <c r="L69" s="255"/>
      <c r="M69" s="255"/>
      <c r="N69" s="255"/>
      <c r="O69" s="255"/>
      <c r="P69" s="255"/>
      <c r="Q69" s="255"/>
      <c r="R69" s="255"/>
      <c r="T69" s="257"/>
    </row>
    <row r="70" spans="1:20" s="256" customFormat="1" ht="18.75" customHeight="1">
      <c r="A70" s="301" t="s">
        <v>905</v>
      </c>
      <c r="B70" s="331" t="s">
        <v>683</v>
      </c>
      <c r="C70" s="332" t="s">
        <v>699</v>
      </c>
      <c r="D70" s="333" t="s">
        <v>104</v>
      </c>
      <c r="E70" s="334">
        <v>184.75799999999998</v>
      </c>
      <c r="F70" s="335"/>
      <c r="G70" s="34"/>
      <c r="H70" s="283"/>
      <c r="I70" s="283"/>
      <c r="J70" s="283"/>
      <c r="K70" s="283"/>
      <c r="L70" s="255"/>
      <c r="M70" s="255"/>
      <c r="N70" s="255"/>
      <c r="O70" s="255"/>
      <c r="P70" s="255"/>
      <c r="Q70" s="255"/>
      <c r="R70" s="255"/>
      <c r="T70" s="257"/>
    </row>
    <row r="71" spans="1:20" s="256" customFormat="1" ht="18.75" customHeight="1">
      <c r="A71" s="301" t="s">
        <v>906</v>
      </c>
      <c r="B71" s="331" t="s">
        <v>684</v>
      </c>
      <c r="C71" s="332" t="s">
        <v>700</v>
      </c>
      <c r="D71" s="333" t="s">
        <v>104</v>
      </c>
      <c r="E71" s="334">
        <v>129.6</v>
      </c>
      <c r="F71" s="335"/>
      <c r="G71" s="34"/>
      <c r="H71" s="283"/>
      <c r="I71" s="283"/>
      <c r="J71" s="283"/>
      <c r="K71" s="283"/>
      <c r="L71" s="255"/>
      <c r="M71" s="255"/>
      <c r="N71" s="255"/>
      <c r="O71" s="255"/>
      <c r="P71" s="255"/>
      <c r="Q71" s="255"/>
      <c r="R71" s="255"/>
      <c r="T71" s="257"/>
    </row>
    <row r="72" spans="1:20" s="256" customFormat="1" ht="18.75" customHeight="1">
      <c r="A72" s="301" t="s">
        <v>907</v>
      </c>
      <c r="B72" s="331" t="s">
        <v>685</v>
      </c>
      <c r="C72" s="332" t="s">
        <v>701</v>
      </c>
      <c r="D72" s="333" t="s">
        <v>104</v>
      </c>
      <c r="E72" s="334">
        <v>131.2</v>
      </c>
      <c r="F72" s="335"/>
      <c r="G72" s="34"/>
      <c r="H72" s="283"/>
      <c r="I72" s="283"/>
      <c r="J72" s="283"/>
      <c r="K72" s="283"/>
      <c r="L72" s="255"/>
      <c r="M72" s="255"/>
      <c r="N72" s="255"/>
      <c r="O72" s="255"/>
      <c r="P72" s="255"/>
      <c r="Q72" s="255"/>
      <c r="R72" s="255"/>
      <c r="T72" s="257"/>
    </row>
    <row r="73" spans="1:20" s="256" customFormat="1" ht="18.75" customHeight="1">
      <c r="A73" s="301" t="s">
        <v>908</v>
      </c>
      <c r="B73" s="331" t="s">
        <v>686</v>
      </c>
      <c r="C73" s="332" t="s">
        <v>702</v>
      </c>
      <c r="D73" s="333" t="s">
        <v>104</v>
      </c>
      <c r="E73" s="334">
        <v>65.6</v>
      </c>
      <c r="F73" s="335"/>
      <c r="G73" s="34"/>
      <c r="H73" s="283"/>
      <c r="I73" s="283"/>
      <c r="J73" s="283"/>
      <c r="K73" s="283"/>
      <c r="L73" s="255"/>
      <c r="M73" s="255"/>
      <c r="N73" s="255"/>
      <c r="O73" s="255"/>
      <c r="P73" s="255"/>
      <c r="Q73" s="255"/>
      <c r="R73" s="255"/>
      <c r="T73" s="257"/>
    </row>
    <row r="74" spans="1:20" s="256" customFormat="1" ht="18.75" customHeight="1">
      <c r="A74" s="301" t="s">
        <v>909</v>
      </c>
      <c r="B74" s="331" t="s">
        <v>687</v>
      </c>
      <c r="C74" s="332" t="s">
        <v>703</v>
      </c>
      <c r="D74" s="333" t="s">
        <v>104</v>
      </c>
      <c r="E74" s="334">
        <v>63.04</v>
      </c>
      <c r="F74" s="335"/>
      <c r="G74" s="34"/>
      <c r="H74" s="283"/>
      <c r="I74" s="283"/>
      <c r="J74" s="283"/>
      <c r="K74" s="283"/>
      <c r="L74" s="255"/>
      <c r="M74" s="255"/>
      <c r="N74" s="255"/>
      <c r="O74" s="255"/>
      <c r="P74" s="255"/>
      <c r="Q74" s="255"/>
      <c r="R74" s="255"/>
      <c r="T74" s="257"/>
    </row>
    <row r="75" spans="1:20" s="256" customFormat="1" ht="18.75" customHeight="1">
      <c r="A75" s="301" t="s">
        <v>910</v>
      </c>
      <c r="B75" s="331" t="s">
        <v>688</v>
      </c>
      <c r="C75" s="332" t="s">
        <v>704</v>
      </c>
      <c r="D75" s="333" t="s">
        <v>104</v>
      </c>
      <c r="E75" s="334">
        <v>45.662</v>
      </c>
      <c r="F75" s="335"/>
      <c r="G75" s="34"/>
      <c r="H75" s="283"/>
      <c r="I75" s="283"/>
      <c r="J75" s="283"/>
      <c r="K75" s="283"/>
      <c r="L75" s="255"/>
      <c r="M75" s="255"/>
      <c r="N75" s="255"/>
      <c r="O75" s="255"/>
      <c r="P75" s="255"/>
      <c r="Q75" s="255"/>
      <c r="R75" s="255"/>
      <c r="T75" s="257"/>
    </row>
    <row r="76" spans="1:20" s="256" customFormat="1" ht="18.75" customHeight="1">
      <c r="A76" s="301" t="s">
        <v>911</v>
      </c>
      <c r="B76" s="331" t="s">
        <v>689</v>
      </c>
      <c r="C76" s="332" t="s">
        <v>705</v>
      </c>
      <c r="D76" s="333" t="s">
        <v>104</v>
      </c>
      <c r="E76" s="334">
        <v>9.8304</v>
      </c>
      <c r="F76" s="335"/>
      <c r="G76" s="34"/>
      <c r="H76" s="283"/>
      <c r="I76" s="283"/>
      <c r="J76" s="283"/>
      <c r="K76" s="283"/>
      <c r="L76" s="255"/>
      <c r="M76" s="255"/>
      <c r="N76" s="255"/>
      <c r="O76" s="255"/>
      <c r="P76" s="255"/>
      <c r="Q76" s="255"/>
      <c r="R76" s="255"/>
      <c r="T76" s="257"/>
    </row>
    <row r="77" spans="1:20" s="256" customFormat="1" ht="18.75" customHeight="1">
      <c r="A77" s="301" t="s">
        <v>912</v>
      </c>
      <c r="B77" s="331" t="s">
        <v>690</v>
      </c>
      <c r="C77" s="332" t="s">
        <v>706</v>
      </c>
      <c r="D77" s="333" t="s">
        <v>104</v>
      </c>
      <c r="E77" s="334">
        <v>20.48</v>
      </c>
      <c r="F77" s="335"/>
      <c r="G77" s="34"/>
      <c r="H77" s="283"/>
      <c r="I77" s="283"/>
      <c r="J77" s="283"/>
      <c r="K77" s="283"/>
      <c r="L77" s="255"/>
      <c r="M77" s="255"/>
      <c r="N77" s="255"/>
      <c r="O77" s="255"/>
      <c r="P77" s="255"/>
      <c r="Q77" s="255"/>
      <c r="R77" s="255"/>
      <c r="T77" s="257"/>
    </row>
    <row r="78" spans="1:20" s="256" customFormat="1" ht="20.25" customHeight="1">
      <c r="A78" s="301" t="s">
        <v>936</v>
      </c>
      <c r="B78" s="331"/>
      <c r="C78" s="332" t="s">
        <v>707</v>
      </c>
      <c r="D78" s="333" t="s">
        <v>104</v>
      </c>
      <c r="E78" s="334">
        <f>1066.18*0.15</f>
        <v>159.927</v>
      </c>
      <c r="F78" s="335"/>
      <c r="G78" s="34"/>
      <c r="H78" s="283"/>
      <c r="I78" s="283"/>
      <c r="J78" s="283"/>
      <c r="K78" s="283"/>
      <c r="L78" s="255"/>
      <c r="M78" s="255"/>
      <c r="N78" s="255"/>
      <c r="O78" s="255"/>
      <c r="P78" s="255"/>
      <c r="Q78" s="255"/>
      <c r="R78" s="255"/>
      <c r="T78" s="257"/>
    </row>
    <row r="79" spans="1:20" s="256" customFormat="1" ht="21" customHeight="1">
      <c r="A79" s="301" t="s">
        <v>31</v>
      </c>
      <c r="B79" s="557" t="s">
        <v>173</v>
      </c>
      <c r="C79" s="558" t="s">
        <v>1025</v>
      </c>
      <c r="D79" s="559" t="s">
        <v>228</v>
      </c>
      <c r="E79" s="17">
        <v>1</v>
      </c>
      <c r="F79" s="663"/>
      <c r="G79" s="34">
        <f aca="true" t="shared" si="8" ref="G79">$E79*F79</f>
        <v>0</v>
      </c>
      <c r="H79" s="283"/>
      <c r="I79" s="283"/>
      <c r="J79" s="283"/>
      <c r="K79" s="283"/>
      <c r="L79" s="255"/>
      <c r="M79" s="255"/>
      <c r="N79" s="255"/>
      <c r="O79" s="255"/>
      <c r="P79" s="255"/>
      <c r="Q79" s="255"/>
      <c r="R79" s="255"/>
      <c r="T79" s="257"/>
    </row>
    <row r="80" spans="1:20" s="79" customFormat="1" ht="17.25" customHeight="1" thickBot="1">
      <c r="A80" s="81"/>
      <c r="B80" s="82"/>
      <c r="C80" s="83"/>
      <c r="D80" s="84"/>
      <c r="E80" s="85"/>
      <c r="F80" s="86"/>
      <c r="G80" s="87"/>
      <c r="H80" s="77"/>
      <c r="I80" s="77"/>
      <c r="J80" s="77"/>
      <c r="K80" s="77"/>
      <c r="L80" s="78"/>
      <c r="M80" s="78"/>
      <c r="N80" s="78"/>
      <c r="O80" s="78"/>
      <c r="P80" s="78"/>
      <c r="Q80" s="78"/>
      <c r="R80" s="78"/>
      <c r="T80" s="80"/>
    </row>
    <row r="81" spans="1:20" s="99" customFormat="1" ht="16.5" customHeight="1" thickBot="1">
      <c r="A81" s="237"/>
      <c r="B81" s="238"/>
      <c r="C81" s="239"/>
      <c r="D81" s="240"/>
      <c r="E81" s="282"/>
      <c r="F81" s="278"/>
      <c r="G81" s="243">
        <f>SUBTOTAL(9,G56:G80)</f>
        <v>0</v>
      </c>
      <c r="H81" s="283"/>
      <c r="I81" s="284">
        <f>SUM(I56:I80)</f>
        <v>1.2485365063999998</v>
      </c>
      <c r="J81" s="283"/>
      <c r="K81" s="283"/>
      <c r="L81" s="98"/>
      <c r="M81" s="98"/>
      <c r="N81" s="98"/>
      <c r="O81" s="98"/>
      <c r="P81" s="98"/>
      <c r="Q81" s="98"/>
      <c r="R81" s="98"/>
      <c r="T81" s="100"/>
    </row>
    <row r="82" spans="1:20" s="99" customFormat="1" ht="13.7" customHeight="1" thickBot="1">
      <c r="A82" s="244"/>
      <c r="B82" s="245"/>
      <c r="C82" s="246"/>
      <c r="D82" s="246"/>
      <c r="E82" s="285"/>
      <c r="F82" s="281"/>
      <c r="G82" s="201"/>
      <c r="H82" s="283"/>
      <c r="I82" s="283"/>
      <c r="J82" s="283"/>
      <c r="K82" s="283"/>
      <c r="L82" s="98"/>
      <c r="M82" s="98"/>
      <c r="N82" s="98"/>
      <c r="O82" s="98"/>
      <c r="P82" s="98"/>
      <c r="Q82" s="98"/>
      <c r="R82" s="98"/>
      <c r="T82" s="100"/>
    </row>
    <row r="83" spans="1:20" s="210" customFormat="1" ht="16.5" customHeight="1" thickBot="1">
      <c r="A83" s="202" t="s">
        <v>27</v>
      </c>
      <c r="B83" s="203" t="s">
        <v>61</v>
      </c>
      <c r="C83" s="204" t="s">
        <v>62</v>
      </c>
      <c r="D83" s="205"/>
      <c r="E83" s="206"/>
      <c r="F83" s="207"/>
      <c r="G83" s="208"/>
      <c r="H83" s="192"/>
      <c r="I83" s="192"/>
      <c r="J83" s="192"/>
      <c r="K83" s="192"/>
      <c r="L83" s="209"/>
      <c r="M83" s="209"/>
      <c r="N83" s="209"/>
      <c r="O83" s="209"/>
      <c r="P83" s="209"/>
      <c r="Q83" s="209"/>
      <c r="R83" s="209"/>
      <c r="T83" s="211"/>
    </row>
    <row r="84" spans="1:20" s="99" customFormat="1" ht="12" customHeight="1">
      <c r="A84" s="303"/>
      <c r="B84" s="304"/>
      <c r="C84" s="305"/>
      <c r="D84" s="306"/>
      <c r="E84" s="307"/>
      <c r="F84" s="216"/>
      <c r="G84" s="217"/>
      <c r="H84" s="112"/>
      <c r="I84" s="112"/>
      <c r="J84" s="112"/>
      <c r="K84" s="112"/>
      <c r="L84" s="98"/>
      <c r="M84" s="98"/>
      <c r="N84" s="98"/>
      <c r="O84" s="98"/>
      <c r="P84" s="98"/>
      <c r="Q84" s="98"/>
      <c r="R84" s="98"/>
      <c r="T84" s="100"/>
    </row>
    <row r="85" spans="1:20" s="256" customFormat="1" ht="15.75" customHeight="1">
      <c r="A85" s="47" t="s">
        <v>38</v>
      </c>
      <c r="B85" s="331" t="s">
        <v>1020</v>
      </c>
      <c r="C85" s="332" t="s">
        <v>1022</v>
      </c>
      <c r="D85" s="309" t="s">
        <v>23</v>
      </c>
      <c r="E85" s="310">
        <f>I85+I81+I53</f>
        <v>58.1522831284</v>
      </c>
      <c r="F85" s="310"/>
      <c r="G85" s="34">
        <f aca="true" t="shared" si="9" ref="G85">$E85*F85</f>
        <v>0</v>
      </c>
      <c r="H85" s="311">
        <v>0</v>
      </c>
      <c r="I85" s="554">
        <f>SUM(I84:I84)</f>
        <v>0</v>
      </c>
      <c r="J85" s="311"/>
      <c r="K85" s="311"/>
      <c r="L85" s="255"/>
      <c r="M85" s="255"/>
      <c r="N85" s="255"/>
      <c r="O85" s="255"/>
      <c r="P85" s="255"/>
      <c r="Q85" s="255"/>
      <c r="R85" s="255"/>
      <c r="T85" s="257"/>
    </row>
    <row r="86" spans="1:20" s="256" customFormat="1" ht="12" customHeight="1" thickBot="1">
      <c r="A86" s="270"/>
      <c r="B86" s="316"/>
      <c r="C86" s="272"/>
      <c r="D86" s="273"/>
      <c r="E86" s="317"/>
      <c r="F86" s="292"/>
      <c r="G86" s="275"/>
      <c r="H86" s="283"/>
      <c r="I86" s="283"/>
      <c r="J86" s="283"/>
      <c r="K86" s="283"/>
      <c r="L86" s="255"/>
      <c r="M86" s="255"/>
      <c r="N86" s="255"/>
      <c r="O86" s="255"/>
      <c r="P86" s="255"/>
      <c r="Q86" s="255"/>
      <c r="R86" s="255"/>
      <c r="T86" s="257"/>
    </row>
    <row r="87" spans="1:20" s="99" customFormat="1" ht="16.5" customHeight="1" thickBot="1">
      <c r="A87" s="318"/>
      <c r="B87" s="319"/>
      <c r="C87" s="239" t="s">
        <v>24</v>
      </c>
      <c r="D87" s="240"/>
      <c r="E87" s="320"/>
      <c r="F87" s="242"/>
      <c r="G87" s="89">
        <f>SUBTOTAL(9,G84:G86)</f>
        <v>0</v>
      </c>
      <c r="H87" s="112"/>
      <c r="I87" s="112"/>
      <c r="J87" s="112"/>
      <c r="K87" s="112"/>
      <c r="L87" s="98"/>
      <c r="M87" s="98"/>
      <c r="N87" s="98"/>
      <c r="O87" s="98"/>
      <c r="P87" s="98"/>
      <c r="Q87" s="98"/>
      <c r="R87" s="98"/>
      <c r="T87" s="100"/>
    </row>
    <row r="88" spans="1:20" s="99" customFormat="1" ht="13.7" customHeight="1" thickBot="1">
      <c r="A88" s="321"/>
      <c r="B88" s="279"/>
      <c r="C88" s="246"/>
      <c r="D88" s="246"/>
      <c r="E88" s="322"/>
      <c r="F88" s="200"/>
      <c r="G88" s="201"/>
      <c r="H88" s="112"/>
      <c r="I88" s="112"/>
      <c r="J88" s="112"/>
      <c r="K88" s="112"/>
      <c r="L88" s="98"/>
      <c r="M88" s="98"/>
      <c r="N88" s="98"/>
      <c r="O88" s="98"/>
      <c r="P88" s="98"/>
      <c r="Q88" s="98"/>
      <c r="R88" s="98"/>
      <c r="T88" s="100"/>
    </row>
    <row r="89" spans="1:20" s="210" customFormat="1" ht="16.5" customHeight="1" thickBot="1">
      <c r="A89" s="202" t="s">
        <v>39</v>
      </c>
      <c r="B89" s="203" t="s">
        <v>63</v>
      </c>
      <c r="C89" s="204" t="s">
        <v>64</v>
      </c>
      <c r="D89" s="205"/>
      <c r="E89" s="206"/>
      <c r="F89" s="207"/>
      <c r="G89" s="208"/>
      <c r="H89" s="192"/>
      <c r="I89" s="192"/>
      <c r="J89" s="192"/>
      <c r="K89" s="192"/>
      <c r="L89" s="209"/>
      <c r="M89" s="209"/>
      <c r="N89" s="209"/>
      <c r="O89" s="209"/>
      <c r="P89" s="209"/>
      <c r="Q89" s="209"/>
      <c r="R89" s="209"/>
      <c r="T89" s="211"/>
    </row>
    <row r="90" spans="1:20" s="99" customFormat="1" ht="12" customHeight="1">
      <c r="A90" s="303"/>
      <c r="B90" s="304"/>
      <c r="C90" s="305"/>
      <c r="D90" s="306"/>
      <c r="E90" s="328"/>
      <c r="F90" s="329"/>
      <c r="G90" s="330"/>
      <c r="H90" s="112"/>
      <c r="I90" s="112"/>
      <c r="J90" s="112"/>
      <c r="K90" s="112"/>
      <c r="L90" s="98"/>
      <c r="M90" s="98"/>
      <c r="N90" s="98"/>
      <c r="O90" s="98"/>
      <c r="P90" s="98"/>
      <c r="Q90" s="98"/>
      <c r="R90" s="98"/>
      <c r="T90" s="100"/>
    </row>
    <row r="91" spans="1:20" s="552" customFormat="1" ht="18.75" customHeight="1">
      <c r="A91" s="555" t="s">
        <v>40</v>
      </c>
      <c r="B91" s="545" t="s">
        <v>170</v>
      </c>
      <c r="C91" s="546" t="s">
        <v>708</v>
      </c>
      <c r="D91" s="547"/>
      <c r="E91" s="548">
        <f>SUM(E92:E104)</f>
        <v>718.3671399999998</v>
      </c>
      <c r="F91" s="549"/>
      <c r="G91" s="34">
        <f>$E91*F91</f>
        <v>0</v>
      </c>
      <c r="H91" s="617">
        <f>0.001</f>
        <v>0.001</v>
      </c>
      <c r="I91" s="616">
        <f>E91*H91</f>
        <v>0.7183671399999999</v>
      </c>
      <c r="J91" s="550"/>
      <c r="K91" s="550"/>
      <c r="L91" s="551"/>
      <c r="M91" s="551"/>
      <c r="N91" s="551"/>
      <c r="O91" s="551"/>
      <c r="P91" s="551"/>
      <c r="Q91" s="551"/>
      <c r="R91" s="551"/>
      <c r="T91" s="553"/>
    </row>
    <row r="92" spans="1:20" s="256" customFormat="1" ht="18.75" customHeight="1">
      <c r="A92" s="301" t="s">
        <v>913</v>
      </c>
      <c r="B92" s="331" t="s">
        <v>713</v>
      </c>
      <c r="C92" s="332" t="s">
        <v>711</v>
      </c>
      <c r="D92" s="333" t="s">
        <v>104</v>
      </c>
      <c r="E92" s="334">
        <v>2.185</v>
      </c>
      <c r="F92" s="335"/>
      <c r="G92" s="34"/>
      <c r="H92" s="283"/>
      <c r="I92" s="283"/>
      <c r="J92" s="283"/>
      <c r="K92" s="283"/>
      <c r="L92" s="255"/>
      <c r="M92" s="255"/>
      <c r="N92" s="255"/>
      <c r="O92" s="255"/>
      <c r="P92" s="255"/>
      <c r="Q92" s="255"/>
      <c r="R92" s="255"/>
      <c r="T92" s="257"/>
    </row>
    <row r="93" spans="1:20" s="256" customFormat="1" ht="18.75" customHeight="1">
      <c r="A93" s="301" t="s">
        <v>914</v>
      </c>
      <c r="B93" s="331" t="s">
        <v>714</v>
      </c>
      <c r="C93" s="332" t="s">
        <v>712</v>
      </c>
      <c r="D93" s="333" t="s">
        <v>104</v>
      </c>
      <c r="E93" s="334">
        <v>136.28459999999998</v>
      </c>
      <c r="F93" s="335"/>
      <c r="G93" s="34"/>
      <c r="H93" s="283"/>
      <c r="I93" s="283"/>
      <c r="J93" s="283"/>
      <c r="K93" s="283"/>
      <c r="L93" s="255"/>
      <c r="M93" s="255"/>
      <c r="N93" s="255"/>
      <c r="O93" s="255"/>
      <c r="P93" s="255"/>
      <c r="Q93" s="255"/>
      <c r="R93" s="255"/>
      <c r="T93" s="257"/>
    </row>
    <row r="94" spans="1:20" s="256" customFormat="1" ht="18.75" customHeight="1">
      <c r="A94" s="301" t="s">
        <v>915</v>
      </c>
      <c r="B94" s="331" t="s">
        <v>715</v>
      </c>
      <c r="C94" s="332" t="s">
        <v>717</v>
      </c>
      <c r="D94" s="333" t="s">
        <v>104</v>
      </c>
      <c r="E94" s="334">
        <v>56.727599999999995</v>
      </c>
      <c r="F94" s="335"/>
      <c r="G94" s="34"/>
      <c r="H94" s="283"/>
      <c r="I94" s="283"/>
      <c r="J94" s="283"/>
      <c r="K94" s="283"/>
      <c r="L94" s="255"/>
      <c r="M94" s="255"/>
      <c r="N94" s="255"/>
      <c r="O94" s="255"/>
      <c r="P94" s="255"/>
      <c r="Q94" s="255"/>
      <c r="R94" s="255"/>
      <c r="T94" s="257"/>
    </row>
    <row r="95" spans="1:20" s="256" customFormat="1" ht="18.75" customHeight="1">
      <c r="A95" s="301" t="s">
        <v>916</v>
      </c>
      <c r="B95" s="331" t="s">
        <v>716</v>
      </c>
      <c r="C95" s="332" t="s">
        <v>718</v>
      </c>
      <c r="D95" s="333" t="s">
        <v>104</v>
      </c>
      <c r="E95" s="334">
        <v>113.45519999999999</v>
      </c>
      <c r="F95" s="335"/>
      <c r="G95" s="34"/>
      <c r="H95" s="283"/>
      <c r="I95" s="283"/>
      <c r="J95" s="283"/>
      <c r="K95" s="283"/>
      <c r="L95" s="255"/>
      <c r="M95" s="255"/>
      <c r="N95" s="255"/>
      <c r="O95" s="255"/>
      <c r="P95" s="255"/>
      <c r="Q95" s="255"/>
      <c r="R95" s="255"/>
      <c r="T95" s="257"/>
    </row>
    <row r="96" spans="1:20" s="256" customFormat="1" ht="18.75" customHeight="1">
      <c r="A96" s="301" t="s">
        <v>917</v>
      </c>
      <c r="B96" s="331" t="s">
        <v>716</v>
      </c>
      <c r="C96" s="332" t="s">
        <v>720</v>
      </c>
      <c r="D96" s="333" t="s">
        <v>104</v>
      </c>
      <c r="E96" s="334">
        <v>54.51384</v>
      </c>
      <c r="F96" s="335"/>
      <c r="G96" s="34"/>
      <c r="H96" s="283"/>
      <c r="I96" s="283"/>
      <c r="J96" s="283"/>
      <c r="K96" s="283"/>
      <c r="L96" s="255"/>
      <c r="M96" s="255"/>
      <c r="N96" s="255"/>
      <c r="O96" s="255"/>
      <c r="P96" s="255"/>
      <c r="Q96" s="255"/>
      <c r="R96" s="255"/>
      <c r="T96" s="257"/>
    </row>
    <row r="97" spans="1:20" s="256" customFormat="1" ht="18.75" customHeight="1">
      <c r="A97" s="301" t="s">
        <v>918</v>
      </c>
      <c r="B97" s="331" t="s">
        <v>716</v>
      </c>
      <c r="C97" s="332" t="s">
        <v>719</v>
      </c>
      <c r="D97" s="333" t="s">
        <v>104</v>
      </c>
      <c r="E97" s="334">
        <v>111.37980000000002</v>
      </c>
      <c r="F97" s="335"/>
      <c r="G97" s="34"/>
      <c r="H97" s="283"/>
      <c r="I97" s="283"/>
      <c r="J97" s="283"/>
      <c r="K97" s="283"/>
      <c r="L97" s="255"/>
      <c r="M97" s="255"/>
      <c r="N97" s="255"/>
      <c r="O97" s="255"/>
      <c r="P97" s="255"/>
      <c r="Q97" s="255"/>
      <c r="R97" s="255"/>
      <c r="T97" s="257"/>
    </row>
    <row r="98" spans="1:20" s="256" customFormat="1" ht="18.75" customHeight="1">
      <c r="A98" s="301" t="s">
        <v>919</v>
      </c>
      <c r="B98" s="331" t="s">
        <v>714</v>
      </c>
      <c r="C98" s="332" t="s">
        <v>721</v>
      </c>
      <c r="D98" s="333" t="s">
        <v>104</v>
      </c>
      <c r="E98" s="334">
        <v>3.59736</v>
      </c>
      <c r="F98" s="335"/>
      <c r="G98" s="34"/>
      <c r="H98" s="283"/>
      <c r="I98" s="283"/>
      <c r="J98" s="283"/>
      <c r="K98" s="283"/>
      <c r="L98" s="255"/>
      <c r="M98" s="255"/>
      <c r="N98" s="255"/>
      <c r="O98" s="255"/>
      <c r="P98" s="255"/>
      <c r="Q98" s="255"/>
      <c r="R98" s="255"/>
      <c r="T98" s="257"/>
    </row>
    <row r="99" spans="1:20" s="256" customFormat="1" ht="18.75" customHeight="1">
      <c r="A99" s="301" t="s">
        <v>920</v>
      </c>
      <c r="B99" s="331" t="s">
        <v>714</v>
      </c>
      <c r="C99" s="332" t="s">
        <v>722</v>
      </c>
      <c r="D99" s="333" t="s">
        <v>104</v>
      </c>
      <c r="E99" s="334">
        <v>24.07464</v>
      </c>
      <c r="F99" s="335"/>
      <c r="G99" s="34"/>
      <c r="H99" s="283"/>
      <c r="I99" s="283"/>
      <c r="J99" s="283"/>
      <c r="K99" s="283"/>
      <c r="L99" s="255"/>
      <c r="M99" s="255"/>
      <c r="N99" s="255"/>
      <c r="O99" s="255"/>
      <c r="P99" s="255"/>
      <c r="Q99" s="255"/>
      <c r="R99" s="255"/>
      <c r="T99" s="257"/>
    </row>
    <row r="100" spans="1:20" s="256" customFormat="1" ht="18.75" customHeight="1">
      <c r="A100" s="301" t="s">
        <v>921</v>
      </c>
      <c r="B100" s="331" t="s">
        <v>714</v>
      </c>
      <c r="C100" s="332" t="s">
        <v>724</v>
      </c>
      <c r="D100" s="333" t="s">
        <v>104</v>
      </c>
      <c r="E100" s="334">
        <v>19.3704</v>
      </c>
      <c r="F100" s="335"/>
      <c r="G100" s="34"/>
      <c r="H100" s="283"/>
      <c r="I100" s="283"/>
      <c r="J100" s="283"/>
      <c r="K100" s="283"/>
      <c r="L100" s="255"/>
      <c r="M100" s="255"/>
      <c r="N100" s="255"/>
      <c r="O100" s="255"/>
      <c r="P100" s="255"/>
      <c r="Q100" s="255"/>
      <c r="R100" s="255"/>
      <c r="T100" s="257"/>
    </row>
    <row r="101" spans="1:20" s="256" customFormat="1" ht="18.75" customHeight="1">
      <c r="A101" s="301" t="s">
        <v>922</v>
      </c>
      <c r="B101" s="331" t="s">
        <v>714</v>
      </c>
      <c r="C101" s="332" t="s">
        <v>723</v>
      </c>
      <c r="D101" s="333" t="s">
        <v>104</v>
      </c>
      <c r="E101" s="334">
        <v>21.445800000000002</v>
      </c>
      <c r="F101" s="335"/>
      <c r="G101" s="34"/>
      <c r="H101" s="283"/>
      <c r="I101" s="283"/>
      <c r="J101" s="283"/>
      <c r="K101" s="283"/>
      <c r="L101" s="255"/>
      <c r="M101" s="255"/>
      <c r="N101" s="255"/>
      <c r="O101" s="255"/>
      <c r="P101" s="255"/>
      <c r="Q101" s="255"/>
      <c r="R101" s="255"/>
      <c r="T101" s="257"/>
    </row>
    <row r="102" spans="1:20" s="256" customFormat="1" ht="18.75" customHeight="1">
      <c r="A102" s="301" t="s">
        <v>923</v>
      </c>
      <c r="B102" s="331" t="s">
        <v>714</v>
      </c>
      <c r="C102" s="332" t="s">
        <v>725</v>
      </c>
      <c r="D102" s="333" t="s">
        <v>104</v>
      </c>
      <c r="E102" s="334">
        <v>28.363799999999998</v>
      </c>
      <c r="F102" s="335"/>
      <c r="G102" s="34"/>
      <c r="H102" s="283"/>
      <c r="I102" s="283"/>
      <c r="J102" s="283"/>
      <c r="K102" s="283"/>
      <c r="L102" s="255"/>
      <c r="M102" s="255"/>
      <c r="N102" s="255"/>
      <c r="O102" s="255"/>
      <c r="P102" s="255"/>
      <c r="Q102" s="255"/>
      <c r="R102" s="255"/>
      <c r="T102" s="257"/>
    </row>
    <row r="103" spans="1:20" s="256" customFormat="1" ht="18.75" customHeight="1">
      <c r="A103" s="301" t="s">
        <v>924</v>
      </c>
      <c r="B103" s="331" t="s">
        <v>716</v>
      </c>
      <c r="C103" s="332" t="s">
        <v>726</v>
      </c>
      <c r="D103" s="333" t="s">
        <v>104</v>
      </c>
      <c r="E103" s="334">
        <v>53.268600000000006</v>
      </c>
      <c r="F103" s="335"/>
      <c r="G103" s="34"/>
      <c r="H103" s="283"/>
      <c r="I103" s="283"/>
      <c r="J103" s="283"/>
      <c r="K103" s="283"/>
      <c r="L103" s="255"/>
      <c r="M103" s="255"/>
      <c r="N103" s="255"/>
      <c r="O103" s="255"/>
      <c r="P103" s="255"/>
      <c r="Q103" s="255"/>
      <c r="R103" s="255"/>
      <c r="T103" s="257"/>
    </row>
    <row r="104" spans="1:20" s="256" customFormat="1" ht="20.25" customHeight="1">
      <c r="A104" s="301" t="s">
        <v>925</v>
      </c>
      <c r="B104" s="331"/>
      <c r="C104" s="332" t="s">
        <v>707</v>
      </c>
      <c r="D104" s="333" t="s">
        <v>104</v>
      </c>
      <c r="E104" s="334">
        <f>624.67*0.15</f>
        <v>93.70049999999999</v>
      </c>
      <c r="F104" s="335"/>
      <c r="G104" s="34"/>
      <c r="H104" s="283"/>
      <c r="I104" s="283"/>
      <c r="J104" s="283"/>
      <c r="K104" s="283"/>
      <c r="L104" s="255"/>
      <c r="M104" s="255"/>
      <c r="N104" s="255"/>
      <c r="O104" s="255"/>
      <c r="P104" s="255"/>
      <c r="Q104" s="255"/>
      <c r="R104" s="255"/>
      <c r="T104" s="257"/>
    </row>
    <row r="105" spans="1:20" s="256" customFormat="1" ht="19.5" customHeight="1">
      <c r="A105" s="301" t="s">
        <v>580</v>
      </c>
      <c r="B105" s="331"/>
      <c r="C105" s="332" t="s">
        <v>933</v>
      </c>
      <c r="D105" s="333" t="s">
        <v>50</v>
      </c>
      <c r="E105" s="334">
        <v>1</v>
      </c>
      <c r="F105" s="335"/>
      <c r="G105" s="34">
        <f>$E105*F105</f>
        <v>0</v>
      </c>
      <c r="H105" s="283"/>
      <c r="I105" s="283"/>
      <c r="J105" s="283"/>
      <c r="K105" s="283"/>
      <c r="L105" s="255"/>
      <c r="M105" s="255"/>
      <c r="N105" s="255"/>
      <c r="O105" s="255"/>
      <c r="P105" s="255"/>
      <c r="Q105" s="255"/>
      <c r="R105" s="255"/>
      <c r="T105" s="257"/>
    </row>
    <row r="106" spans="1:20" s="256" customFormat="1" ht="18" customHeight="1">
      <c r="A106" s="301" t="s">
        <v>230</v>
      </c>
      <c r="B106" s="331">
        <v>998767101</v>
      </c>
      <c r="C106" s="332" t="s">
        <v>1012</v>
      </c>
      <c r="D106" s="333" t="s">
        <v>23</v>
      </c>
      <c r="E106" s="334">
        <f>I106</f>
        <v>0.7183671399999999</v>
      </c>
      <c r="F106" s="335"/>
      <c r="G106" s="34">
        <f>$E106*F106</f>
        <v>0</v>
      </c>
      <c r="H106" s="283"/>
      <c r="I106" s="284">
        <f>SUM(I91:I105)</f>
        <v>0.7183671399999999</v>
      </c>
      <c r="J106" s="283"/>
      <c r="K106" s="283"/>
      <c r="L106" s="255"/>
      <c r="M106" s="255"/>
      <c r="N106" s="255"/>
      <c r="O106" s="255"/>
      <c r="P106" s="255"/>
      <c r="Q106" s="255"/>
      <c r="R106" s="255"/>
      <c r="T106" s="257"/>
    </row>
    <row r="107" spans="1:20" s="99" customFormat="1" ht="12" customHeight="1" thickBot="1">
      <c r="A107" s="180"/>
      <c r="B107" s="323"/>
      <c r="C107" s="234"/>
      <c r="D107" s="235"/>
      <c r="E107" s="324"/>
      <c r="F107" s="184"/>
      <c r="G107" s="185"/>
      <c r="H107" s="112"/>
      <c r="I107" s="112"/>
      <c r="J107" s="112"/>
      <c r="K107" s="112"/>
      <c r="L107" s="98"/>
      <c r="M107" s="98"/>
      <c r="N107" s="98"/>
      <c r="O107" s="98"/>
      <c r="P107" s="98"/>
      <c r="Q107" s="98"/>
      <c r="R107" s="98"/>
      <c r="T107" s="100"/>
    </row>
    <row r="108" spans="1:20" s="99" customFormat="1" ht="16.5" customHeight="1" thickBot="1">
      <c r="A108" s="318"/>
      <c r="B108" s="319"/>
      <c r="C108" s="239" t="s">
        <v>24</v>
      </c>
      <c r="D108" s="240"/>
      <c r="E108" s="320"/>
      <c r="F108" s="242"/>
      <c r="G108" s="89">
        <f>SUBTOTAL(9,G90:G107)</f>
        <v>0</v>
      </c>
      <c r="H108" s="112"/>
      <c r="I108" s="112"/>
      <c r="J108" s="112"/>
      <c r="K108" s="112"/>
      <c r="L108" s="98"/>
      <c r="M108" s="98"/>
      <c r="N108" s="98"/>
      <c r="O108" s="98"/>
      <c r="P108" s="98"/>
      <c r="Q108" s="98"/>
      <c r="R108" s="98"/>
      <c r="T108" s="100"/>
    </row>
    <row r="109" spans="1:20" s="99" customFormat="1" ht="13.7" customHeight="1" thickBot="1">
      <c r="A109" s="321"/>
      <c r="B109" s="279"/>
      <c r="C109" s="246"/>
      <c r="D109" s="246"/>
      <c r="E109" s="322"/>
      <c r="F109" s="200"/>
      <c r="G109" s="201"/>
      <c r="H109" s="112"/>
      <c r="I109" s="112"/>
      <c r="J109" s="112"/>
      <c r="K109" s="112"/>
      <c r="L109" s="98"/>
      <c r="M109" s="98"/>
      <c r="N109" s="98"/>
      <c r="O109" s="98"/>
      <c r="P109" s="98"/>
      <c r="Q109" s="98"/>
      <c r="R109" s="98"/>
      <c r="T109" s="100"/>
    </row>
    <row r="110" spans="1:20" s="210" customFormat="1" ht="16.5" customHeight="1" thickBot="1">
      <c r="A110" s="202" t="s">
        <v>41</v>
      </c>
      <c r="B110" s="203" t="s">
        <v>51</v>
      </c>
      <c r="C110" s="204" t="s">
        <v>65</v>
      </c>
      <c r="D110" s="205"/>
      <c r="E110" s="206"/>
      <c r="F110" s="207"/>
      <c r="G110" s="208"/>
      <c r="H110" s="192"/>
      <c r="I110" s="192"/>
      <c r="J110" s="192"/>
      <c r="K110" s="192"/>
      <c r="L110" s="209"/>
      <c r="M110" s="209"/>
      <c r="N110" s="209"/>
      <c r="O110" s="209"/>
      <c r="P110" s="209"/>
      <c r="Q110" s="209"/>
      <c r="R110" s="209"/>
      <c r="T110" s="211"/>
    </row>
    <row r="111" spans="1:20" s="99" customFormat="1" ht="12" customHeight="1">
      <c r="A111" s="303"/>
      <c r="B111" s="304"/>
      <c r="C111" s="305"/>
      <c r="D111" s="306"/>
      <c r="E111" s="328"/>
      <c r="F111" s="329"/>
      <c r="G111" s="330"/>
      <c r="H111" s="112"/>
      <c r="I111" s="112"/>
      <c r="J111" s="112"/>
      <c r="K111" s="112"/>
      <c r="L111" s="98"/>
      <c r="M111" s="98"/>
      <c r="N111" s="98"/>
      <c r="O111" s="98"/>
      <c r="P111" s="98"/>
      <c r="Q111" s="98"/>
      <c r="R111" s="98"/>
      <c r="T111" s="100"/>
    </row>
    <row r="112" spans="1:20" s="39" customFormat="1" ht="15.75" customHeight="1">
      <c r="A112" s="47" t="s">
        <v>42</v>
      </c>
      <c r="B112" s="43" t="s">
        <v>81</v>
      </c>
      <c r="C112" s="69" t="s">
        <v>82</v>
      </c>
      <c r="D112" s="35" t="s">
        <v>18</v>
      </c>
      <c r="E112" s="36">
        <f>SUM(D113)</f>
        <v>22.835</v>
      </c>
      <c r="F112" s="36"/>
      <c r="G112" s="34">
        <f>$E112*F112</f>
        <v>0</v>
      </c>
      <c r="H112" s="90"/>
      <c r="I112" s="90"/>
      <c r="J112" s="90"/>
      <c r="K112" s="90"/>
      <c r="L112" s="38"/>
      <c r="M112" s="38"/>
      <c r="N112" s="38"/>
      <c r="O112" s="38"/>
      <c r="P112" s="38"/>
      <c r="Q112" s="38"/>
      <c r="R112" s="38"/>
      <c r="T112" s="40"/>
    </row>
    <row r="113" spans="1:20" s="31" customFormat="1" ht="15.75" customHeight="1">
      <c r="A113" s="23"/>
      <c r="B113" s="24"/>
      <c r="C113" s="25" t="s">
        <v>672</v>
      </c>
      <c r="D113" s="26">
        <f>19.5+2.3*1.45</f>
        <v>22.835</v>
      </c>
      <c r="E113" s="27"/>
      <c r="F113" s="27"/>
      <c r="G113" s="28"/>
      <c r="H113" s="29"/>
      <c r="I113" s="29"/>
      <c r="J113" s="29"/>
      <c r="K113" s="29"/>
      <c r="L113" s="30"/>
      <c r="M113" s="30"/>
      <c r="N113" s="30"/>
      <c r="O113" s="30"/>
      <c r="P113" s="30"/>
      <c r="Q113" s="30"/>
      <c r="R113" s="30"/>
      <c r="T113" s="32"/>
    </row>
    <row r="114" spans="1:20" s="31" customFormat="1" ht="27.75" customHeight="1">
      <c r="A114" s="47" t="s">
        <v>43</v>
      </c>
      <c r="B114" s="556" t="s">
        <v>166</v>
      </c>
      <c r="C114" s="69" t="s">
        <v>167</v>
      </c>
      <c r="D114" s="35" t="s">
        <v>18</v>
      </c>
      <c r="E114" s="36">
        <f>E112</f>
        <v>22.835</v>
      </c>
      <c r="F114" s="36"/>
      <c r="G114" s="34">
        <f>$E114*F114</f>
        <v>0</v>
      </c>
      <c r="H114" s="29"/>
      <c r="I114" s="29"/>
      <c r="J114" s="29"/>
      <c r="K114" s="29"/>
      <c r="L114" s="30"/>
      <c r="M114" s="30"/>
      <c r="N114" s="30"/>
      <c r="O114" s="30"/>
      <c r="P114" s="30"/>
      <c r="Q114" s="30"/>
      <c r="R114" s="30"/>
      <c r="T114" s="32"/>
    </row>
    <row r="115" spans="1:20" s="31" customFormat="1" ht="11.25" customHeight="1">
      <c r="A115" s="23"/>
      <c r="B115" s="527"/>
      <c r="C115" s="528"/>
      <c r="D115" s="529"/>
      <c r="E115" s="27"/>
      <c r="F115" s="530"/>
      <c r="G115" s="28"/>
      <c r="H115" s="29"/>
      <c r="I115" s="29"/>
      <c r="J115" s="29"/>
      <c r="K115" s="29"/>
      <c r="L115" s="30"/>
      <c r="M115" s="30"/>
      <c r="N115" s="30"/>
      <c r="O115" s="30"/>
      <c r="P115" s="30"/>
      <c r="Q115" s="30"/>
      <c r="R115" s="30"/>
      <c r="T115" s="32"/>
    </row>
    <row r="116" spans="1:20" s="256" customFormat="1" ht="16.5" customHeight="1">
      <c r="A116" s="47" t="s">
        <v>844</v>
      </c>
      <c r="B116" s="331" t="s">
        <v>168</v>
      </c>
      <c r="C116" s="332" t="s">
        <v>938</v>
      </c>
      <c r="D116" s="333" t="s">
        <v>18</v>
      </c>
      <c r="E116" s="36">
        <f>E112</f>
        <v>22.835</v>
      </c>
      <c r="F116" s="335"/>
      <c r="G116" s="34">
        <f aca="true" t="shared" si="10" ref="G116:G122">$E116*F116</f>
        <v>0</v>
      </c>
      <c r="H116" s="283"/>
      <c r="I116" s="283"/>
      <c r="J116" s="283"/>
      <c r="K116" s="283"/>
      <c r="L116" s="255"/>
      <c r="M116" s="255"/>
      <c r="N116" s="255"/>
      <c r="O116" s="255"/>
      <c r="P116" s="255"/>
      <c r="Q116" s="255"/>
      <c r="R116" s="255"/>
      <c r="T116" s="257"/>
    </row>
    <row r="117" spans="1:20" s="314" customFormat="1" ht="12" customHeight="1">
      <c r="A117" s="23"/>
      <c r="B117" s="336"/>
      <c r="C117" s="337"/>
      <c r="D117" s="338"/>
      <c r="E117" s="339"/>
      <c r="F117" s="340"/>
      <c r="G117" s="312"/>
      <c r="H117" s="341"/>
      <c r="I117" s="341"/>
      <c r="J117" s="341"/>
      <c r="K117" s="341"/>
      <c r="L117" s="313"/>
      <c r="M117" s="313"/>
      <c r="N117" s="313"/>
      <c r="O117" s="313"/>
      <c r="P117" s="313"/>
      <c r="Q117" s="313"/>
      <c r="R117" s="313"/>
      <c r="T117" s="315"/>
    </row>
    <row r="118" spans="1:20" s="256" customFormat="1" ht="30" customHeight="1">
      <c r="A118" s="47" t="s">
        <v>845</v>
      </c>
      <c r="B118" s="331" t="s">
        <v>169</v>
      </c>
      <c r="C118" s="332" t="s">
        <v>937</v>
      </c>
      <c r="D118" s="333" t="s">
        <v>18</v>
      </c>
      <c r="E118" s="334">
        <f>SUM(D119:D119)</f>
        <v>25.22875</v>
      </c>
      <c r="F118" s="335"/>
      <c r="G118" s="34">
        <f t="shared" si="10"/>
        <v>0</v>
      </c>
      <c r="H118" s="283"/>
      <c r="I118" s="283"/>
      <c r="J118" s="283"/>
      <c r="K118" s="283"/>
      <c r="L118" s="255"/>
      <c r="M118" s="255"/>
      <c r="N118" s="255"/>
      <c r="O118" s="255"/>
      <c r="P118" s="255"/>
      <c r="Q118" s="255"/>
      <c r="R118" s="255"/>
      <c r="T118" s="257"/>
    </row>
    <row r="119" spans="1:20" s="314" customFormat="1" ht="17.25" customHeight="1">
      <c r="A119" s="23"/>
      <c r="B119" s="336"/>
      <c r="C119" s="337" t="s">
        <v>673</v>
      </c>
      <c r="D119" s="338">
        <f>19.5*1.08+2.3*1.45*1.25</f>
        <v>25.22875</v>
      </c>
      <c r="E119" s="339"/>
      <c r="F119" s="340"/>
      <c r="G119" s="312"/>
      <c r="H119" s="341"/>
      <c r="I119" s="341"/>
      <c r="J119" s="341"/>
      <c r="K119" s="341"/>
      <c r="L119" s="313"/>
      <c r="M119" s="313"/>
      <c r="N119" s="313"/>
      <c r="O119" s="313"/>
      <c r="P119" s="313"/>
      <c r="Q119" s="313"/>
      <c r="R119" s="313"/>
      <c r="T119" s="315"/>
    </row>
    <row r="120" spans="1:20" s="21" customFormat="1" ht="14.25" customHeight="1">
      <c r="A120" s="47" t="s">
        <v>846</v>
      </c>
      <c r="B120" s="386" t="s">
        <v>171</v>
      </c>
      <c r="C120" s="366" t="s">
        <v>157</v>
      </c>
      <c r="D120" s="367" t="s">
        <v>21</v>
      </c>
      <c r="E120" s="55">
        <f>SUM(D121)</f>
        <v>8.903999999999998</v>
      </c>
      <c r="F120" s="56"/>
      <c r="G120" s="34">
        <f t="shared" si="10"/>
        <v>0</v>
      </c>
      <c r="H120" s="531"/>
      <c r="I120" s="531"/>
      <c r="J120" s="531"/>
      <c r="K120" s="531"/>
      <c r="L120" s="532"/>
      <c r="M120" s="532"/>
      <c r="N120" s="532"/>
      <c r="O120" s="532"/>
      <c r="P120" s="532"/>
      <c r="Q120" s="532"/>
      <c r="R120" s="532"/>
      <c r="T120" s="22"/>
    </row>
    <row r="121" spans="1:20" s="314" customFormat="1" ht="18" customHeight="1">
      <c r="A121" s="23"/>
      <c r="B121" s="336"/>
      <c r="C121" s="337" t="s">
        <v>674</v>
      </c>
      <c r="D121" s="338">
        <f>1.45*6*1.02+0.03</f>
        <v>8.903999999999998</v>
      </c>
      <c r="E121" s="339"/>
      <c r="F121" s="340"/>
      <c r="G121" s="312"/>
      <c r="H121" s="341"/>
      <c r="I121" s="341"/>
      <c r="J121" s="341"/>
      <c r="K121" s="341"/>
      <c r="L121" s="313"/>
      <c r="M121" s="313"/>
      <c r="N121" s="313"/>
      <c r="O121" s="313"/>
      <c r="P121" s="313"/>
      <c r="Q121" s="313"/>
      <c r="R121" s="313"/>
      <c r="T121" s="315"/>
    </row>
    <row r="122" spans="1:20" s="256" customFormat="1" ht="19.5" customHeight="1">
      <c r="A122" s="47" t="s">
        <v>847</v>
      </c>
      <c r="B122" s="331" t="s">
        <v>172</v>
      </c>
      <c r="C122" s="332" t="s">
        <v>83</v>
      </c>
      <c r="D122" s="333" t="s">
        <v>49</v>
      </c>
      <c r="E122" s="334">
        <f>SUM(G111:G121)*0.01</f>
        <v>0</v>
      </c>
      <c r="F122" s="335"/>
      <c r="G122" s="34">
        <f t="shared" si="10"/>
        <v>0</v>
      </c>
      <c r="H122" s="283"/>
      <c r="I122" s="283"/>
      <c r="J122" s="283"/>
      <c r="K122" s="283"/>
      <c r="L122" s="255"/>
      <c r="M122" s="255"/>
      <c r="N122" s="255"/>
      <c r="O122" s="255"/>
      <c r="P122" s="255"/>
      <c r="Q122" s="255"/>
      <c r="R122" s="255"/>
      <c r="T122" s="257"/>
    </row>
    <row r="123" spans="1:20" s="99" customFormat="1" ht="12" customHeight="1" thickBot="1">
      <c r="A123" s="180"/>
      <c r="B123" s="323"/>
      <c r="C123" s="234"/>
      <c r="D123" s="235"/>
      <c r="E123" s="324"/>
      <c r="F123" s="184"/>
      <c r="G123" s="185"/>
      <c r="H123" s="112"/>
      <c r="I123" s="112"/>
      <c r="J123" s="112"/>
      <c r="K123" s="112"/>
      <c r="L123" s="98"/>
      <c r="M123" s="98"/>
      <c r="N123" s="98"/>
      <c r="O123" s="98"/>
      <c r="P123" s="98"/>
      <c r="Q123" s="98"/>
      <c r="R123" s="98"/>
      <c r="T123" s="100"/>
    </row>
    <row r="124" spans="1:20" s="99" customFormat="1" ht="16.5" customHeight="1" thickBot="1">
      <c r="A124" s="318"/>
      <c r="B124" s="319"/>
      <c r="C124" s="239" t="s">
        <v>24</v>
      </c>
      <c r="D124" s="240"/>
      <c r="E124" s="320"/>
      <c r="F124" s="242"/>
      <c r="G124" s="89">
        <f>SUBTOTAL(9,G111:G123)</f>
        <v>0</v>
      </c>
      <c r="H124" s="112"/>
      <c r="I124" s="112"/>
      <c r="J124" s="112"/>
      <c r="K124" s="112"/>
      <c r="L124" s="98"/>
      <c r="M124" s="98"/>
      <c r="N124" s="98"/>
      <c r="O124" s="98"/>
      <c r="P124" s="98"/>
      <c r="Q124" s="98"/>
      <c r="R124" s="98"/>
      <c r="T124" s="100"/>
    </row>
    <row r="125" spans="1:20" s="99" customFormat="1" ht="13.7" customHeight="1" thickBot="1">
      <c r="A125" s="321"/>
      <c r="B125" s="279"/>
      <c r="C125" s="246"/>
      <c r="D125" s="246"/>
      <c r="E125" s="322"/>
      <c r="F125" s="200"/>
      <c r="G125" s="201"/>
      <c r="H125" s="112"/>
      <c r="I125" s="112"/>
      <c r="J125" s="112"/>
      <c r="K125" s="112"/>
      <c r="L125" s="98"/>
      <c r="M125" s="98"/>
      <c r="N125" s="98"/>
      <c r="O125" s="98"/>
      <c r="P125" s="98"/>
      <c r="Q125" s="98"/>
      <c r="R125" s="98"/>
      <c r="T125" s="100"/>
    </row>
    <row r="126" spans="1:20" s="210" customFormat="1" ht="16.5" customHeight="1" thickBot="1">
      <c r="A126" s="202" t="s">
        <v>134</v>
      </c>
      <c r="B126" s="203"/>
      <c r="C126" s="204" t="s">
        <v>52</v>
      </c>
      <c r="D126" s="205"/>
      <c r="E126" s="206"/>
      <c r="F126" s="207"/>
      <c r="G126" s="208"/>
      <c r="H126" s="192"/>
      <c r="I126" s="192"/>
      <c r="J126" s="192"/>
      <c r="K126" s="192"/>
      <c r="L126" s="209"/>
      <c r="M126" s="209"/>
      <c r="N126" s="209"/>
      <c r="O126" s="209"/>
      <c r="P126" s="209"/>
      <c r="Q126" s="209"/>
      <c r="R126" s="209"/>
      <c r="T126" s="211"/>
    </row>
    <row r="127" spans="1:20" s="99" customFormat="1" ht="12" customHeight="1">
      <c r="A127" s="303"/>
      <c r="B127" s="304"/>
      <c r="C127" s="305"/>
      <c r="D127" s="306"/>
      <c r="E127" s="328"/>
      <c r="F127" s="329"/>
      <c r="G127" s="330"/>
      <c r="H127" s="112"/>
      <c r="I127" s="112"/>
      <c r="J127" s="112"/>
      <c r="K127" s="112"/>
      <c r="L127" s="98"/>
      <c r="M127" s="98"/>
      <c r="N127" s="98"/>
      <c r="O127" s="98"/>
      <c r="P127" s="98"/>
      <c r="Q127" s="98"/>
      <c r="R127" s="98"/>
      <c r="T127" s="100"/>
    </row>
    <row r="128" spans="1:7" s="256" customFormat="1" ht="48">
      <c r="A128" s="301" t="s">
        <v>135</v>
      </c>
      <c r="B128" s="231"/>
      <c r="C128" s="308" t="s">
        <v>177</v>
      </c>
      <c r="D128" s="347"/>
      <c r="E128" s="327"/>
      <c r="F128" s="169"/>
      <c r="G128" s="34">
        <f aca="true" t="shared" si="11" ref="G128">$E128*F128</f>
        <v>0</v>
      </c>
    </row>
    <row r="129" spans="1:20" s="99" customFormat="1" ht="12" customHeight="1" thickBot="1">
      <c r="A129" s="180"/>
      <c r="B129" s="323"/>
      <c r="C129" s="234"/>
      <c r="D129" s="235"/>
      <c r="E129" s="324"/>
      <c r="F129" s="184"/>
      <c r="G129" s="185"/>
      <c r="H129" s="112"/>
      <c r="I129" s="112"/>
      <c r="J129" s="112"/>
      <c r="K129" s="112"/>
      <c r="L129" s="98"/>
      <c r="M129" s="98"/>
      <c r="N129" s="98"/>
      <c r="O129" s="98"/>
      <c r="P129" s="98"/>
      <c r="Q129" s="98"/>
      <c r="R129" s="98"/>
      <c r="T129" s="100"/>
    </row>
    <row r="130" spans="1:20" s="99" customFormat="1" ht="16.5" customHeight="1" thickBot="1">
      <c r="A130" s="318"/>
      <c r="B130" s="319"/>
      <c r="C130" s="239" t="s">
        <v>24</v>
      </c>
      <c r="D130" s="240"/>
      <c r="E130" s="320"/>
      <c r="F130" s="242"/>
      <c r="G130" s="89">
        <f>SUBTOTAL(9,G127:G129)</f>
        <v>0</v>
      </c>
      <c r="H130" s="112"/>
      <c r="I130" s="112"/>
      <c r="J130" s="112"/>
      <c r="K130" s="112"/>
      <c r="L130" s="98"/>
      <c r="M130" s="98"/>
      <c r="N130" s="98"/>
      <c r="O130" s="98"/>
      <c r="P130" s="98"/>
      <c r="Q130" s="98"/>
      <c r="R130" s="98"/>
      <c r="T130" s="100"/>
    </row>
    <row r="131" spans="1:20" s="99" customFormat="1" ht="13.7" customHeight="1" thickBot="1">
      <c r="A131" s="321"/>
      <c r="B131" s="279"/>
      <c r="C131" s="246"/>
      <c r="D131" s="246"/>
      <c r="E131" s="322"/>
      <c r="F131" s="200"/>
      <c r="G131" s="201"/>
      <c r="H131" s="112"/>
      <c r="I131" s="112"/>
      <c r="J131" s="112"/>
      <c r="K131" s="112"/>
      <c r="L131" s="98"/>
      <c r="M131" s="98"/>
      <c r="N131" s="98"/>
      <c r="O131" s="98"/>
      <c r="P131" s="98"/>
      <c r="Q131" s="98"/>
      <c r="R131" s="98"/>
      <c r="T131" s="100"/>
    </row>
    <row r="132" spans="1:20" s="355" customFormat="1" ht="30.75" customHeight="1" thickBot="1">
      <c r="A132" s="186"/>
      <c r="B132" s="348"/>
      <c r="C132" s="349" t="s">
        <v>53</v>
      </c>
      <c r="D132" s="349"/>
      <c r="E132" s="350"/>
      <c r="F132" s="351"/>
      <c r="G132" s="352">
        <f>SUBTOTAL(9,G25:G130)</f>
        <v>0</v>
      </c>
      <c r="H132" s="353"/>
      <c r="I132" s="353"/>
      <c r="J132" s="353"/>
      <c r="K132" s="353"/>
      <c r="L132" s="354"/>
      <c r="M132" s="354"/>
      <c r="N132" s="354"/>
      <c r="O132" s="354"/>
      <c r="P132" s="354"/>
      <c r="Q132" s="354"/>
      <c r="R132" s="354"/>
      <c r="T132" s="356"/>
    </row>
    <row r="133" ht="12.75">
      <c r="E133" s="359"/>
    </row>
    <row r="134" ht="12.75">
      <c r="E134" s="359"/>
    </row>
    <row r="135" ht="12.75">
      <c r="E135" s="359"/>
    </row>
    <row r="136" ht="12.75">
      <c r="E136" s="359"/>
    </row>
    <row r="137" ht="12.75">
      <c r="E137" s="359"/>
    </row>
    <row r="138" ht="12.75">
      <c r="E138" s="359"/>
    </row>
    <row r="139" ht="12.75">
      <c r="E139" s="359"/>
    </row>
    <row r="140" spans="1:59" s="360" customFormat="1" ht="12.75">
      <c r="A140" s="357"/>
      <c r="B140" s="358"/>
      <c r="C140" s="104"/>
      <c r="D140" s="104"/>
      <c r="E140" s="359"/>
      <c r="G140" s="105"/>
      <c r="H140" s="119"/>
      <c r="I140" s="119"/>
      <c r="J140" s="119"/>
      <c r="K140" s="119"/>
      <c r="L140" s="98"/>
      <c r="M140" s="98"/>
      <c r="N140" s="98"/>
      <c r="O140" s="98"/>
      <c r="P140" s="98"/>
      <c r="Q140" s="98"/>
      <c r="R140" s="98"/>
      <c r="S140" s="104"/>
      <c r="T140" s="105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</row>
    <row r="141" spans="1:59" s="360" customFormat="1" ht="12.75">
      <c r="A141" s="357"/>
      <c r="B141" s="358"/>
      <c r="C141" s="104"/>
      <c r="D141" s="104"/>
      <c r="E141" s="359"/>
      <c r="G141" s="105"/>
      <c r="H141" s="119"/>
      <c r="I141" s="119"/>
      <c r="J141" s="119"/>
      <c r="K141" s="119"/>
      <c r="L141" s="98"/>
      <c r="M141" s="98"/>
      <c r="N141" s="98"/>
      <c r="O141" s="98"/>
      <c r="P141" s="98"/>
      <c r="Q141" s="98"/>
      <c r="R141" s="98"/>
      <c r="S141" s="104"/>
      <c r="T141" s="105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</row>
    <row r="142" spans="1:59" s="360" customFormat="1" ht="12.75">
      <c r="A142" s="357"/>
      <c r="B142" s="358"/>
      <c r="C142" s="104"/>
      <c r="D142" s="104"/>
      <c r="E142" s="359"/>
      <c r="G142" s="105"/>
      <c r="H142" s="119"/>
      <c r="I142" s="119"/>
      <c r="J142" s="119"/>
      <c r="K142" s="119"/>
      <c r="L142" s="98"/>
      <c r="M142" s="98"/>
      <c r="N142" s="98"/>
      <c r="O142" s="98"/>
      <c r="P142" s="98"/>
      <c r="Q142" s="98"/>
      <c r="R142" s="98"/>
      <c r="S142" s="104"/>
      <c r="T142" s="105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</row>
    <row r="143" spans="1:59" s="360" customFormat="1" ht="12.75">
      <c r="A143" s="357"/>
      <c r="B143" s="358"/>
      <c r="C143" s="104"/>
      <c r="D143" s="104"/>
      <c r="E143" s="359"/>
      <c r="G143" s="105"/>
      <c r="H143" s="119"/>
      <c r="I143" s="119"/>
      <c r="J143" s="119"/>
      <c r="K143" s="119"/>
      <c r="L143" s="98"/>
      <c r="M143" s="98"/>
      <c r="N143" s="98"/>
      <c r="O143" s="98"/>
      <c r="P143" s="98"/>
      <c r="Q143" s="98"/>
      <c r="R143" s="98"/>
      <c r="S143" s="104"/>
      <c r="T143" s="105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</row>
    <row r="144" spans="1:59" s="360" customFormat="1" ht="12.75">
      <c r="A144" s="357"/>
      <c r="B144" s="358"/>
      <c r="C144" s="104"/>
      <c r="D144" s="104"/>
      <c r="E144" s="359"/>
      <c r="G144" s="105"/>
      <c r="H144" s="119"/>
      <c r="I144" s="119"/>
      <c r="J144" s="119"/>
      <c r="K144" s="119"/>
      <c r="L144" s="98"/>
      <c r="M144" s="98"/>
      <c r="N144" s="98"/>
      <c r="O144" s="98"/>
      <c r="P144" s="98"/>
      <c r="Q144" s="98"/>
      <c r="R144" s="98"/>
      <c r="S144" s="104"/>
      <c r="T144" s="105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</row>
    <row r="145" spans="1:59" s="360" customFormat="1" ht="12.75">
      <c r="A145" s="357"/>
      <c r="B145" s="358"/>
      <c r="C145" s="104"/>
      <c r="D145" s="104"/>
      <c r="E145" s="359"/>
      <c r="G145" s="105"/>
      <c r="H145" s="119"/>
      <c r="I145" s="119"/>
      <c r="J145" s="119"/>
      <c r="K145" s="119"/>
      <c r="L145" s="98"/>
      <c r="M145" s="98"/>
      <c r="N145" s="98"/>
      <c r="O145" s="98"/>
      <c r="P145" s="98"/>
      <c r="Q145" s="98"/>
      <c r="R145" s="98"/>
      <c r="S145" s="104"/>
      <c r="T145" s="105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</row>
    <row r="146" spans="1:59" s="360" customFormat="1" ht="12.75">
      <c r="A146" s="357"/>
      <c r="B146" s="358"/>
      <c r="C146" s="104"/>
      <c r="D146" s="104"/>
      <c r="E146" s="359"/>
      <c r="G146" s="105"/>
      <c r="H146" s="119"/>
      <c r="I146" s="119"/>
      <c r="J146" s="119"/>
      <c r="K146" s="119"/>
      <c r="L146" s="98"/>
      <c r="M146" s="98"/>
      <c r="N146" s="98"/>
      <c r="O146" s="98"/>
      <c r="P146" s="98"/>
      <c r="Q146" s="98"/>
      <c r="R146" s="98"/>
      <c r="S146" s="104"/>
      <c r="T146" s="105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</row>
    <row r="147" spans="1:59" s="360" customFormat="1" ht="12.75">
      <c r="A147" s="357"/>
      <c r="B147" s="358"/>
      <c r="C147" s="104"/>
      <c r="D147" s="104"/>
      <c r="E147" s="359"/>
      <c r="G147" s="105"/>
      <c r="H147" s="119"/>
      <c r="I147" s="119"/>
      <c r="J147" s="119"/>
      <c r="K147" s="119"/>
      <c r="L147" s="98"/>
      <c r="M147" s="98"/>
      <c r="N147" s="98"/>
      <c r="O147" s="98"/>
      <c r="P147" s="98"/>
      <c r="Q147" s="98"/>
      <c r="R147" s="98"/>
      <c r="S147" s="104"/>
      <c r="T147" s="105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</row>
    <row r="148" spans="1:59" s="360" customFormat="1" ht="12.75">
      <c r="A148" s="357"/>
      <c r="B148" s="358"/>
      <c r="C148" s="104"/>
      <c r="D148" s="104"/>
      <c r="E148" s="359"/>
      <c r="G148" s="105"/>
      <c r="H148" s="119"/>
      <c r="I148" s="119"/>
      <c r="J148" s="119"/>
      <c r="K148" s="119"/>
      <c r="L148" s="98"/>
      <c r="M148" s="98"/>
      <c r="N148" s="98"/>
      <c r="O148" s="98"/>
      <c r="P148" s="98"/>
      <c r="Q148" s="98"/>
      <c r="R148" s="98"/>
      <c r="S148" s="104"/>
      <c r="T148" s="105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</row>
    <row r="149" spans="1:59" s="360" customFormat="1" ht="12.75">
      <c r="A149" s="357"/>
      <c r="B149" s="358"/>
      <c r="C149" s="104"/>
      <c r="D149" s="104"/>
      <c r="E149" s="359"/>
      <c r="G149" s="105"/>
      <c r="H149" s="119"/>
      <c r="I149" s="119"/>
      <c r="J149" s="119"/>
      <c r="K149" s="119"/>
      <c r="L149" s="98"/>
      <c r="M149" s="98"/>
      <c r="N149" s="98"/>
      <c r="O149" s="98"/>
      <c r="P149" s="98"/>
      <c r="Q149" s="98"/>
      <c r="R149" s="98"/>
      <c r="S149" s="104"/>
      <c r="T149" s="105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</row>
    <row r="150" spans="1:59" s="360" customFormat="1" ht="12.75">
      <c r="A150" s="357"/>
      <c r="B150" s="358"/>
      <c r="C150" s="104"/>
      <c r="D150" s="104"/>
      <c r="E150" s="359"/>
      <c r="G150" s="105"/>
      <c r="H150" s="119"/>
      <c r="I150" s="119"/>
      <c r="J150" s="119"/>
      <c r="K150" s="119"/>
      <c r="L150" s="98"/>
      <c r="M150" s="98"/>
      <c r="N150" s="98"/>
      <c r="O150" s="98"/>
      <c r="P150" s="98"/>
      <c r="Q150" s="98"/>
      <c r="R150" s="98"/>
      <c r="S150" s="104"/>
      <c r="T150" s="105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</row>
    <row r="151" spans="1:59" s="360" customFormat="1" ht="12.75">
      <c r="A151" s="357"/>
      <c r="B151" s="358"/>
      <c r="C151" s="104"/>
      <c r="D151" s="104"/>
      <c r="E151" s="359"/>
      <c r="G151" s="105"/>
      <c r="H151" s="119"/>
      <c r="I151" s="119"/>
      <c r="J151" s="119"/>
      <c r="K151" s="119"/>
      <c r="L151" s="98"/>
      <c r="M151" s="98"/>
      <c r="N151" s="98"/>
      <c r="O151" s="98"/>
      <c r="P151" s="98"/>
      <c r="Q151" s="98"/>
      <c r="R151" s="98"/>
      <c r="S151" s="104"/>
      <c r="T151" s="105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</row>
    <row r="152" spans="1:59" s="360" customFormat="1" ht="12.75">
      <c r="A152" s="357"/>
      <c r="B152" s="358"/>
      <c r="C152" s="104"/>
      <c r="D152" s="104"/>
      <c r="E152" s="359"/>
      <c r="G152" s="105"/>
      <c r="H152" s="119"/>
      <c r="I152" s="119"/>
      <c r="J152" s="119"/>
      <c r="K152" s="119"/>
      <c r="L152" s="98"/>
      <c r="M152" s="98"/>
      <c r="N152" s="98"/>
      <c r="O152" s="98"/>
      <c r="P152" s="98"/>
      <c r="Q152" s="98"/>
      <c r="R152" s="98"/>
      <c r="S152" s="104"/>
      <c r="T152" s="105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</row>
    <row r="153" spans="1:59" s="360" customFormat="1" ht="12.75">
      <c r="A153" s="357"/>
      <c r="B153" s="358"/>
      <c r="C153" s="104"/>
      <c r="D153" s="104"/>
      <c r="E153" s="359"/>
      <c r="G153" s="105"/>
      <c r="H153" s="119"/>
      <c r="I153" s="119"/>
      <c r="J153" s="119"/>
      <c r="K153" s="119"/>
      <c r="L153" s="98"/>
      <c r="M153" s="98"/>
      <c r="N153" s="98"/>
      <c r="O153" s="98"/>
      <c r="P153" s="98"/>
      <c r="Q153" s="98"/>
      <c r="R153" s="98"/>
      <c r="S153" s="104"/>
      <c r="T153" s="105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</row>
    <row r="154" spans="1:59" s="360" customFormat="1" ht="12.75">
      <c r="A154" s="357"/>
      <c r="B154" s="358"/>
      <c r="C154" s="104"/>
      <c r="D154" s="104"/>
      <c r="E154" s="359"/>
      <c r="G154" s="105"/>
      <c r="H154" s="119"/>
      <c r="I154" s="119"/>
      <c r="J154" s="119"/>
      <c r="K154" s="119"/>
      <c r="L154" s="98"/>
      <c r="M154" s="98"/>
      <c r="N154" s="98"/>
      <c r="O154" s="98"/>
      <c r="P154" s="98"/>
      <c r="Q154" s="98"/>
      <c r="R154" s="98"/>
      <c r="S154" s="104"/>
      <c r="T154" s="105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</row>
    <row r="155" spans="1:59" s="360" customFormat="1" ht="12.75">
      <c r="A155" s="357"/>
      <c r="B155" s="358"/>
      <c r="C155" s="104"/>
      <c r="D155" s="104"/>
      <c r="E155" s="359"/>
      <c r="G155" s="105"/>
      <c r="H155" s="119"/>
      <c r="I155" s="119"/>
      <c r="J155" s="119"/>
      <c r="K155" s="119"/>
      <c r="L155" s="98"/>
      <c r="M155" s="98"/>
      <c r="N155" s="98"/>
      <c r="O155" s="98"/>
      <c r="P155" s="98"/>
      <c r="Q155" s="98"/>
      <c r="R155" s="98"/>
      <c r="S155" s="104"/>
      <c r="T155" s="105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</row>
    <row r="156" spans="1:59" s="360" customFormat="1" ht="12.75">
      <c r="A156" s="357"/>
      <c r="B156" s="358"/>
      <c r="C156" s="104"/>
      <c r="D156" s="104"/>
      <c r="E156" s="359"/>
      <c r="G156" s="105"/>
      <c r="H156" s="119"/>
      <c r="I156" s="119"/>
      <c r="J156" s="119"/>
      <c r="K156" s="119"/>
      <c r="L156" s="98"/>
      <c r="M156" s="98"/>
      <c r="N156" s="98"/>
      <c r="O156" s="98"/>
      <c r="P156" s="98"/>
      <c r="Q156" s="98"/>
      <c r="R156" s="98"/>
      <c r="S156" s="104"/>
      <c r="T156" s="105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</row>
    <row r="157" spans="1:59" s="360" customFormat="1" ht="12.75">
      <c r="A157" s="357"/>
      <c r="B157" s="358"/>
      <c r="C157" s="104"/>
      <c r="D157" s="104"/>
      <c r="E157" s="359"/>
      <c r="G157" s="105"/>
      <c r="H157" s="119"/>
      <c r="I157" s="119"/>
      <c r="J157" s="119"/>
      <c r="K157" s="119"/>
      <c r="L157" s="98"/>
      <c r="M157" s="98"/>
      <c r="N157" s="98"/>
      <c r="O157" s="98"/>
      <c r="P157" s="98"/>
      <c r="Q157" s="98"/>
      <c r="R157" s="98"/>
      <c r="S157" s="104"/>
      <c r="T157" s="105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</row>
    <row r="158" spans="1:59" s="360" customFormat="1" ht="12.75">
      <c r="A158" s="357"/>
      <c r="B158" s="358"/>
      <c r="C158" s="104"/>
      <c r="D158" s="104"/>
      <c r="E158" s="359"/>
      <c r="G158" s="105"/>
      <c r="H158" s="119"/>
      <c r="I158" s="119"/>
      <c r="J158" s="119"/>
      <c r="K158" s="119"/>
      <c r="L158" s="98"/>
      <c r="M158" s="98"/>
      <c r="N158" s="98"/>
      <c r="O158" s="98"/>
      <c r="P158" s="98"/>
      <c r="Q158" s="98"/>
      <c r="R158" s="98"/>
      <c r="S158" s="104"/>
      <c r="T158" s="105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</row>
    <row r="159" spans="1:59" s="360" customFormat="1" ht="12.75">
      <c r="A159" s="357"/>
      <c r="B159" s="358"/>
      <c r="C159" s="104"/>
      <c r="D159" s="104"/>
      <c r="E159" s="359"/>
      <c r="G159" s="105"/>
      <c r="H159" s="119"/>
      <c r="I159" s="119"/>
      <c r="J159" s="119"/>
      <c r="K159" s="119"/>
      <c r="L159" s="98"/>
      <c r="M159" s="98"/>
      <c r="N159" s="98"/>
      <c r="O159" s="98"/>
      <c r="P159" s="98"/>
      <c r="Q159" s="98"/>
      <c r="R159" s="98"/>
      <c r="S159" s="104"/>
      <c r="T159" s="105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</row>
    <row r="160" spans="1:59" s="360" customFormat="1" ht="12.75">
      <c r="A160" s="357"/>
      <c r="B160" s="358"/>
      <c r="C160" s="104"/>
      <c r="D160" s="104"/>
      <c r="E160" s="359"/>
      <c r="G160" s="105"/>
      <c r="H160" s="119"/>
      <c r="I160" s="119"/>
      <c r="J160" s="119"/>
      <c r="K160" s="119"/>
      <c r="L160" s="98"/>
      <c r="M160" s="98"/>
      <c r="N160" s="98"/>
      <c r="O160" s="98"/>
      <c r="P160" s="98"/>
      <c r="Q160" s="98"/>
      <c r="R160" s="98"/>
      <c r="S160" s="104"/>
      <c r="T160" s="105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</row>
    <row r="161" spans="1:59" s="360" customFormat="1" ht="12.75">
      <c r="A161" s="357"/>
      <c r="B161" s="358"/>
      <c r="C161" s="104"/>
      <c r="D161" s="104"/>
      <c r="E161" s="359"/>
      <c r="G161" s="105"/>
      <c r="H161" s="119"/>
      <c r="I161" s="119"/>
      <c r="J161" s="119"/>
      <c r="K161" s="119"/>
      <c r="L161" s="98"/>
      <c r="M161" s="98"/>
      <c r="N161" s="98"/>
      <c r="O161" s="98"/>
      <c r="P161" s="98"/>
      <c r="Q161" s="98"/>
      <c r="R161" s="98"/>
      <c r="S161" s="104"/>
      <c r="T161" s="105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</row>
    <row r="162" spans="1:59" s="360" customFormat="1" ht="12.75">
      <c r="A162" s="357"/>
      <c r="B162" s="358"/>
      <c r="C162" s="104"/>
      <c r="D162" s="104"/>
      <c r="E162" s="359"/>
      <c r="G162" s="105"/>
      <c r="H162" s="119"/>
      <c r="I162" s="119"/>
      <c r="J162" s="119"/>
      <c r="K162" s="119"/>
      <c r="L162" s="98"/>
      <c r="M162" s="98"/>
      <c r="N162" s="98"/>
      <c r="O162" s="98"/>
      <c r="P162" s="98"/>
      <c r="Q162" s="98"/>
      <c r="R162" s="98"/>
      <c r="S162" s="104"/>
      <c r="T162" s="105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</row>
    <row r="163" spans="1:59" s="360" customFormat="1" ht="12.75">
      <c r="A163" s="357"/>
      <c r="B163" s="358"/>
      <c r="C163" s="104"/>
      <c r="D163" s="104"/>
      <c r="E163" s="359"/>
      <c r="G163" s="105"/>
      <c r="H163" s="119"/>
      <c r="I163" s="119"/>
      <c r="J163" s="119"/>
      <c r="K163" s="119"/>
      <c r="L163" s="98"/>
      <c r="M163" s="98"/>
      <c r="N163" s="98"/>
      <c r="O163" s="98"/>
      <c r="P163" s="98"/>
      <c r="Q163" s="98"/>
      <c r="R163" s="98"/>
      <c r="S163" s="104"/>
      <c r="T163" s="105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</row>
    <row r="164" spans="1:59" s="360" customFormat="1" ht="12.75">
      <c r="A164" s="357"/>
      <c r="B164" s="358"/>
      <c r="C164" s="104"/>
      <c r="D164" s="104"/>
      <c r="E164" s="359"/>
      <c r="G164" s="105"/>
      <c r="H164" s="119"/>
      <c r="I164" s="119"/>
      <c r="J164" s="119"/>
      <c r="K164" s="119"/>
      <c r="L164" s="98"/>
      <c r="M164" s="98"/>
      <c r="N164" s="98"/>
      <c r="O164" s="98"/>
      <c r="P164" s="98"/>
      <c r="Q164" s="98"/>
      <c r="R164" s="98"/>
      <c r="S164" s="104"/>
      <c r="T164" s="105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</row>
    <row r="165" spans="1:59" s="360" customFormat="1" ht="12.75">
      <c r="A165" s="357"/>
      <c r="B165" s="358"/>
      <c r="C165" s="104"/>
      <c r="D165" s="104"/>
      <c r="E165" s="359"/>
      <c r="G165" s="105"/>
      <c r="H165" s="119"/>
      <c r="I165" s="119"/>
      <c r="J165" s="119"/>
      <c r="K165" s="119"/>
      <c r="L165" s="98"/>
      <c r="M165" s="98"/>
      <c r="N165" s="98"/>
      <c r="O165" s="98"/>
      <c r="P165" s="98"/>
      <c r="Q165" s="98"/>
      <c r="R165" s="98"/>
      <c r="S165" s="104"/>
      <c r="T165" s="105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</row>
    <row r="166" spans="1:59" s="360" customFormat="1" ht="12.75">
      <c r="A166" s="357"/>
      <c r="B166" s="358"/>
      <c r="C166" s="104"/>
      <c r="D166" s="104"/>
      <c r="E166" s="359"/>
      <c r="G166" s="105"/>
      <c r="H166" s="119"/>
      <c r="I166" s="119"/>
      <c r="J166" s="119"/>
      <c r="K166" s="119"/>
      <c r="L166" s="98"/>
      <c r="M166" s="98"/>
      <c r="N166" s="98"/>
      <c r="O166" s="98"/>
      <c r="P166" s="98"/>
      <c r="Q166" s="98"/>
      <c r="R166" s="98"/>
      <c r="S166" s="104"/>
      <c r="T166" s="105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</row>
    <row r="167" spans="1:59" s="360" customFormat="1" ht="12.75">
      <c r="A167" s="357"/>
      <c r="B167" s="358"/>
      <c r="C167" s="104"/>
      <c r="D167" s="104"/>
      <c r="E167" s="359"/>
      <c r="G167" s="105"/>
      <c r="H167" s="119"/>
      <c r="I167" s="119"/>
      <c r="J167" s="119"/>
      <c r="K167" s="119"/>
      <c r="L167" s="98"/>
      <c r="M167" s="98"/>
      <c r="N167" s="98"/>
      <c r="O167" s="98"/>
      <c r="P167" s="98"/>
      <c r="Q167" s="98"/>
      <c r="R167" s="98"/>
      <c r="S167" s="104"/>
      <c r="T167" s="105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</row>
    <row r="168" spans="1:59" s="360" customFormat="1" ht="12.75">
      <c r="A168" s="357"/>
      <c r="B168" s="358"/>
      <c r="C168" s="104"/>
      <c r="D168" s="104"/>
      <c r="E168" s="359"/>
      <c r="G168" s="105"/>
      <c r="H168" s="119"/>
      <c r="I168" s="119"/>
      <c r="J168" s="119"/>
      <c r="K168" s="119"/>
      <c r="L168" s="98"/>
      <c r="M168" s="98"/>
      <c r="N168" s="98"/>
      <c r="O168" s="98"/>
      <c r="P168" s="98"/>
      <c r="Q168" s="98"/>
      <c r="R168" s="98"/>
      <c r="S168" s="104"/>
      <c r="T168" s="105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</row>
    <row r="169" spans="1:59" s="360" customFormat="1" ht="12.75">
      <c r="A169" s="357"/>
      <c r="B169" s="358"/>
      <c r="C169" s="104"/>
      <c r="D169" s="104"/>
      <c r="E169" s="359"/>
      <c r="G169" s="105"/>
      <c r="H169" s="119"/>
      <c r="I169" s="119"/>
      <c r="J169" s="119"/>
      <c r="K169" s="119"/>
      <c r="L169" s="98"/>
      <c r="M169" s="98"/>
      <c r="N169" s="98"/>
      <c r="O169" s="98"/>
      <c r="P169" s="98"/>
      <c r="Q169" s="98"/>
      <c r="R169" s="98"/>
      <c r="S169" s="104"/>
      <c r="T169" s="105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</row>
    <row r="170" spans="1:59" s="360" customFormat="1" ht="12.75">
      <c r="A170" s="357"/>
      <c r="B170" s="358"/>
      <c r="C170" s="104"/>
      <c r="D170" s="104"/>
      <c r="E170" s="359"/>
      <c r="G170" s="105"/>
      <c r="H170" s="119"/>
      <c r="I170" s="119"/>
      <c r="J170" s="119"/>
      <c r="K170" s="119"/>
      <c r="L170" s="98"/>
      <c r="M170" s="98"/>
      <c r="N170" s="98"/>
      <c r="O170" s="98"/>
      <c r="P170" s="98"/>
      <c r="Q170" s="98"/>
      <c r="R170" s="98"/>
      <c r="S170" s="104"/>
      <c r="T170" s="105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</row>
    <row r="171" spans="1:59" s="360" customFormat="1" ht="12.75">
      <c r="A171" s="357"/>
      <c r="B171" s="358"/>
      <c r="C171" s="104"/>
      <c r="D171" s="104"/>
      <c r="E171" s="359"/>
      <c r="G171" s="105"/>
      <c r="H171" s="119"/>
      <c r="I171" s="119"/>
      <c r="J171" s="119"/>
      <c r="K171" s="119"/>
      <c r="L171" s="98"/>
      <c r="M171" s="98"/>
      <c r="N171" s="98"/>
      <c r="O171" s="98"/>
      <c r="P171" s="98"/>
      <c r="Q171" s="98"/>
      <c r="R171" s="98"/>
      <c r="S171" s="104"/>
      <c r="T171" s="105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</row>
    <row r="172" spans="1:59" s="360" customFormat="1" ht="12.75">
      <c r="A172" s="357"/>
      <c r="B172" s="358"/>
      <c r="C172" s="104"/>
      <c r="D172" s="104"/>
      <c r="E172" s="359"/>
      <c r="G172" s="105"/>
      <c r="H172" s="119"/>
      <c r="I172" s="119"/>
      <c r="J172" s="119"/>
      <c r="K172" s="119"/>
      <c r="L172" s="98"/>
      <c r="M172" s="98"/>
      <c r="N172" s="98"/>
      <c r="O172" s="98"/>
      <c r="P172" s="98"/>
      <c r="Q172" s="98"/>
      <c r="R172" s="98"/>
      <c r="S172" s="104"/>
      <c r="T172" s="105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</row>
    <row r="173" spans="1:59" s="360" customFormat="1" ht="12.75">
      <c r="A173" s="357"/>
      <c r="B173" s="358"/>
      <c r="C173" s="104"/>
      <c r="D173" s="104"/>
      <c r="E173" s="359"/>
      <c r="G173" s="105"/>
      <c r="H173" s="119"/>
      <c r="I173" s="119"/>
      <c r="J173" s="119"/>
      <c r="K173" s="119"/>
      <c r="L173" s="98"/>
      <c r="M173" s="98"/>
      <c r="N173" s="98"/>
      <c r="O173" s="98"/>
      <c r="P173" s="98"/>
      <c r="Q173" s="98"/>
      <c r="R173" s="98"/>
      <c r="S173" s="104"/>
      <c r="T173" s="105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</row>
    <row r="174" spans="1:59" s="360" customFormat="1" ht="12.75">
      <c r="A174" s="357"/>
      <c r="B174" s="358"/>
      <c r="C174" s="104"/>
      <c r="D174" s="104"/>
      <c r="E174" s="359"/>
      <c r="G174" s="105"/>
      <c r="H174" s="119"/>
      <c r="I174" s="119"/>
      <c r="J174" s="119"/>
      <c r="K174" s="119"/>
      <c r="L174" s="98"/>
      <c r="M174" s="98"/>
      <c r="N174" s="98"/>
      <c r="O174" s="98"/>
      <c r="P174" s="98"/>
      <c r="Q174" s="98"/>
      <c r="R174" s="98"/>
      <c r="S174" s="104"/>
      <c r="T174" s="105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</row>
    <row r="175" spans="1:59" s="360" customFormat="1" ht="12.75">
      <c r="A175" s="357"/>
      <c r="B175" s="358"/>
      <c r="C175" s="104"/>
      <c r="D175" s="104"/>
      <c r="E175" s="359"/>
      <c r="G175" s="105"/>
      <c r="H175" s="119"/>
      <c r="I175" s="119"/>
      <c r="J175" s="119"/>
      <c r="K175" s="119"/>
      <c r="L175" s="98"/>
      <c r="M175" s="98"/>
      <c r="N175" s="98"/>
      <c r="O175" s="98"/>
      <c r="P175" s="98"/>
      <c r="Q175" s="98"/>
      <c r="R175" s="98"/>
      <c r="S175" s="104"/>
      <c r="T175" s="105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</row>
    <row r="176" spans="1:59" s="360" customFormat="1" ht="12.75">
      <c r="A176" s="357"/>
      <c r="B176" s="358"/>
      <c r="C176" s="104"/>
      <c r="D176" s="104"/>
      <c r="E176" s="359"/>
      <c r="G176" s="105"/>
      <c r="H176" s="119"/>
      <c r="I176" s="119"/>
      <c r="J176" s="119"/>
      <c r="K176" s="119"/>
      <c r="L176" s="98"/>
      <c r="M176" s="98"/>
      <c r="N176" s="98"/>
      <c r="O176" s="98"/>
      <c r="P176" s="98"/>
      <c r="Q176" s="98"/>
      <c r="R176" s="98"/>
      <c r="S176" s="104"/>
      <c r="T176" s="105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</row>
    <row r="177" spans="1:59" s="360" customFormat="1" ht="12.75">
      <c r="A177" s="357"/>
      <c r="B177" s="358"/>
      <c r="C177" s="104"/>
      <c r="D177" s="104"/>
      <c r="E177" s="359"/>
      <c r="G177" s="105"/>
      <c r="H177" s="119"/>
      <c r="I177" s="119"/>
      <c r="J177" s="119"/>
      <c r="K177" s="119"/>
      <c r="L177" s="98"/>
      <c r="M177" s="98"/>
      <c r="N177" s="98"/>
      <c r="O177" s="98"/>
      <c r="P177" s="98"/>
      <c r="Q177" s="98"/>
      <c r="R177" s="98"/>
      <c r="S177" s="104"/>
      <c r="T177" s="105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</row>
    <row r="178" spans="1:59" s="360" customFormat="1" ht="12.75">
      <c r="A178" s="357"/>
      <c r="B178" s="358"/>
      <c r="C178" s="104"/>
      <c r="D178" s="104"/>
      <c r="E178" s="359"/>
      <c r="G178" s="105"/>
      <c r="H178" s="119"/>
      <c r="I178" s="119"/>
      <c r="J178" s="119"/>
      <c r="K178" s="119"/>
      <c r="L178" s="98"/>
      <c r="M178" s="98"/>
      <c r="N178" s="98"/>
      <c r="O178" s="98"/>
      <c r="P178" s="98"/>
      <c r="Q178" s="98"/>
      <c r="R178" s="98"/>
      <c r="S178" s="104"/>
      <c r="T178" s="105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</row>
    <row r="179" spans="1:59" s="360" customFormat="1" ht="12.75">
      <c r="A179" s="357"/>
      <c r="B179" s="358"/>
      <c r="C179" s="104"/>
      <c r="D179" s="104"/>
      <c r="E179" s="359"/>
      <c r="G179" s="105"/>
      <c r="H179" s="119"/>
      <c r="I179" s="119"/>
      <c r="J179" s="119"/>
      <c r="K179" s="119"/>
      <c r="L179" s="98"/>
      <c r="M179" s="98"/>
      <c r="N179" s="98"/>
      <c r="O179" s="98"/>
      <c r="P179" s="98"/>
      <c r="Q179" s="98"/>
      <c r="R179" s="98"/>
      <c r="S179" s="104"/>
      <c r="T179" s="105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</row>
    <row r="180" spans="1:59" s="360" customFormat="1" ht="12.75">
      <c r="A180" s="357"/>
      <c r="B180" s="358"/>
      <c r="C180" s="104"/>
      <c r="D180" s="104"/>
      <c r="E180" s="359"/>
      <c r="G180" s="105"/>
      <c r="H180" s="119"/>
      <c r="I180" s="119"/>
      <c r="J180" s="119"/>
      <c r="K180" s="119"/>
      <c r="L180" s="98"/>
      <c r="M180" s="98"/>
      <c r="N180" s="98"/>
      <c r="O180" s="98"/>
      <c r="P180" s="98"/>
      <c r="Q180" s="98"/>
      <c r="R180" s="98"/>
      <c r="S180" s="104"/>
      <c r="T180" s="105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</row>
    <row r="181" spans="1:59" s="360" customFormat="1" ht="12.75">
      <c r="A181" s="357"/>
      <c r="B181" s="358"/>
      <c r="C181" s="104"/>
      <c r="D181" s="104"/>
      <c r="E181" s="359"/>
      <c r="G181" s="105"/>
      <c r="H181" s="119"/>
      <c r="I181" s="119"/>
      <c r="J181" s="119"/>
      <c r="K181" s="119"/>
      <c r="L181" s="98"/>
      <c r="M181" s="98"/>
      <c r="N181" s="98"/>
      <c r="O181" s="98"/>
      <c r="P181" s="98"/>
      <c r="Q181" s="98"/>
      <c r="R181" s="98"/>
      <c r="S181" s="104"/>
      <c r="T181" s="105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</row>
    <row r="182" spans="1:59" s="360" customFormat="1" ht="12.75">
      <c r="A182" s="357"/>
      <c r="B182" s="358"/>
      <c r="C182" s="104"/>
      <c r="D182" s="104"/>
      <c r="E182" s="359"/>
      <c r="G182" s="105"/>
      <c r="H182" s="119"/>
      <c r="I182" s="119"/>
      <c r="J182" s="119"/>
      <c r="K182" s="119"/>
      <c r="L182" s="98"/>
      <c r="M182" s="98"/>
      <c r="N182" s="98"/>
      <c r="O182" s="98"/>
      <c r="P182" s="98"/>
      <c r="Q182" s="98"/>
      <c r="R182" s="98"/>
      <c r="S182" s="104"/>
      <c r="T182" s="105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</row>
    <row r="183" spans="1:59" s="360" customFormat="1" ht="12.75">
      <c r="A183" s="357"/>
      <c r="B183" s="358"/>
      <c r="C183" s="104"/>
      <c r="D183" s="104"/>
      <c r="E183" s="359"/>
      <c r="G183" s="105"/>
      <c r="H183" s="119"/>
      <c r="I183" s="119"/>
      <c r="J183" s="119"/>
      <c r="K183" s="119"/>
      <c r="L183" s="98"/>
      <c r="M183" s="98"/>
      <c r="N183" s="98"/>
      <c r="O183" s="98"/>
      <c r="P183" s="98"/>
      <c r="Q183" s="98"/>
      <c r="R183" s="98"/>
      <c r="S183" s="104"/>
      <c r="T183" s="105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</row>
    <row r="184" spans="1:59" s="360" customFormat="1" ht="12.75">
      <c r="A184" s="357"/>
      <c r="B184" s="358"/>
      <c r="C184" s="104"/>
      <c r="D184" s="104"/>
      <c r="E184" s="359"/>
      <c r="G184" s="105"/>
      <c r="H184" s="119"/>
      <c r="I184" s="119"/>
      <c r="J184" s="119"/>
      <c r="K184" s="119"/>
      <c r="L184" s="98"/>
      <c r="M184" s="98"/>
      <c r="N184" s="98"/>
      <c r="O184" s="98"/>
      <c r="P184" s="98"/>
      <c r="Q184" s="98"/>
      <c r="R184" s="98"/>
      <c r="S184" s="104"/>
      <c r="T184" s="105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</row>
    <row r="185" spans="1:59" s="360" customFormat="1" ht="12.75">
      <c r="A185" s="357"/>
      <c r="B185" s="358"/>
      <c r="C185" s="104"/>
      <c r="D185" s="104"/>
      <c r="E185" s="359"/>
      <c r="G185" s="105"/>
      <c r="H185" s="119"/>
      <c r="I185" s="119"/>
      <c r="J185" s="119"/>
      <c r="K185" s="119"/>
      <c r="L185" s="98"/>
      <c r="M185" s="98"/>
      <c r="N185" s="98"/>
      <c r="O185" s="98"/>
      <c r="P185" s="98"/>
      <c r="Q185" s="98"/>
      <c r="R185" s="98"/>
      <c r="S185" s="104"/>
      <c r="T185" s="105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</row>
    <row r="186" spans="1:59" s="360" customFormat="1" ht="12.75">
      <c r="A186" s="357"/>
      <c r="B186" s="358"/>
      <c r="C186" s="104"/>
      <c r="D186" s="104"/>
      <c r="E186" s="359"/>
      <c r="G186" s="105"/>
      <c r="H186" s="119"/>
      <c r="I186" s="119"/>
      <c r="J186" s="119"/>
      <c r="K186" s="119"/>
      <c r="L186" s="98"/>
      <c r="M186" s="98"/>
      <c r="N186" s="98"/>
      <c r="O186" s="98"/>
      <c r="P186" s="98"/>
      <c r="Q186" s="98"/>
      <c r="R186" s="98"/>
      <c r="S186" s="104"/>
      <c r="T186" s="105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</row>
    <row r="187" spans="1:59" s="360" customFormat="1" ht="12.75">
      <c r="A187" s="357"/>
      <c r="B187" s="358"/>
      <c r="C187" s="104"/>
      <c r="D187" s="104"/>
      <c r="E187" s="359"/>
      <c r="G187" s="105"/>
      <c r="H187" s="119"/>
      <c r="I187" s="119"/>
      <c r="J187" s="119"/>
      <c r="K187" s="119"/>
      <c r="L187" s="98"/>
      <c r="M187" s="98"/>
      <c r="N187" s="98"/>
      <c r="O187" s="98"/>
      <c r="P187" s="98"/>
      <c r="Q187" s="98"/>
      <c r="R187" s="98"/>
      <c r="S187" s="104"/>
      <c r="T187" s="105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</row>
    <row r="188" spans="1:59" s="360" customFormat="1" ht="12.75">
      <c r="A188" s="357"/>
      <c r="B188" s="358"/>
      <c r="C188" s="104"/>
      <c r="D188" s="104"/>
      <c r="E188" s="359"/>
      <c r="G188" s="105"/>
      <c r="H188" s="119"/>
      <c r="I188" s="119"/>
      <c r="J188" s="119"/>
      <c r="K188" s="119"/>
      <c r="L188" s="98"/>
      <c r="M188" s="98"/>
      <c r="N188" s="98"/>
      <c r="O188" s="98"/>
      <c r="P188" s="98"/>
      <c r="Q188" s="98"/>
      <c r="R188" s="98"/>
      <c r="S188" s="104"/>
      <c r="T188" s="105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</row>
    <row r="189" spans="1:59" s="360" customFormat="1" ht="12.75">
      <c r="A189" s="357"/>
      <c r="B189" s="358"/>
      <c r="C189" s="104"/>
      <c r="D189" s="104"/>
      <c r="E189" s="359"/>
      <c r="G189" s="105"/>
      <c r="H189" s="119"/>
      <c r="I189" s="119"/>
      <c r="J189" s="119"/>
      <c r="K189" s="119"/>
      <c r="L189" s="98"/>
      <c r="M189" s="98"/>
      <c r="N189" s="98"/>
      <c r="O189" s="98"/>
      <c r="P189" s="98"/>
      <c r="Q189" s="98"/>
      <c r="R189" s="98"/>
      <c r="S189" s="104"/>
      <c r="T189" s="105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</row>
    <row r="190" spans="1:59" s="360" customFormat="1" ht="12.75">
      <c r="A190" s="357"/>
      <c r="B190" s="358"/>
      <c r="C190" s="104"/>
      <c r="D190" s="104"/>
      <c r="E190" s="359"/>
      <c r="G190" s="105"/>
      <c r="H190" s="119"/>
      <c r="I190" s="119"/>
      <c r="J190" s="119"/>
      <c r="K190" s="119"/>
      <c r="L190" s="98"/>
      <c r="M190" s="98"/>
      <c r="N190" s="98"/>
      <c r="O190" s="98"/>
      <c r="P190" s="98"/>
      <c r="Q190" s="98"/>
      <c r="R190" s="98"/>
      <c r="S190" s="104"/>
      <c r="T190" s="105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</row>
    <row r="191" spans="1:59" s="360" customFormat="1" ht="12.75">
      <c r="A191" s="357"/>
      <c r="B191" s="358"/>
      <c r="C191" s="104"/>
      <c r="D191" s="104"/>
      <c r="E191" s="359"/>
      <c r="G191" s="105"/>
      <c r="H191" s="119"/>
      <c r="I191" s="119"/>
      <c r="J191" s="119"/>
      <c r="K191" s="119"/>
      <c r="L191" s="98"/>
      <c r="M191" s="98"/>
      <c r="N191" s="98"/>
      <c r="O191" s="98"/>
      <c r="P191" s="98"/>
      <c r="Q191" s="98"/>
      <c r="R191" s="98"/>
      <c r="S191" s="104"/>
      <c r="T191" s="105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</row>
    <row r="192" spans="1:59" s="360" customFormat="1" ht="12.75">
      <c r="A192" s="357"/>
      <c r="B192" s="358"/>
      <c r="C192" s="104"/>
      <c r="D192" s="104"/>
      <c r="E192" s="359"/>
      <c r="G192" s="105"/>
      <c r="H192" s="119"/>
      <c r="I192" s="119"/>
      <c r="J192" s="119"/>
      <c r="K192" s="119"/>
      <c r="L192" s="98"/>
      <c r="M192" s="98"/>
      <c r="N192" s="98"/>
      <c r="O192" s="98"/>
      <c r="P192" s="98"/>
      <c r="Q192" s="98"/>
      <c r="R192" s="98"/>
      <c r="S192" s="104"/>
      <c r="T192" s="105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</row>
    <row r="193" spans="1:59" s="360" customFormat="1" ht="12.75">
      <c r="A193" s="357"/>
      <c r="B193" s="358"/>
      <c r="C193" s="104"/>
      <c r="D193" s="104"/>
      <c r="E193" s="359"/>
      <c r="G193" s="105"/>
      <c r="H193" s="119"/>
      <c r="I193" s="119"/>
      <c r="J193" s="119"/>
      <c r="K193" s="119"/>
      <c r="L193" s="98"/>
      <c r="M193" s="98"/>
      <c r="N193" s="98"/>
      <c r="O193" s="98"/>
      <c r="P193" s="98"/>
      <c r="Q193" s="98"/>
      <c r="R193" s="98"/>
      <c r="S193" s="104"/>
      <c r="T193" s="105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</row>
    <row r="194" spans="1:59" s="360" customFormat="1" ht="12.75">
      <c r="A194" s="357"/>
      <c r="B194" s="358"/>
      <c r="C194" s="104"/>
      <c r="D194" s="104"/>
      <c r="E194" s="359"/>
      <c r="G194" s="105"/>
      <c r="H194" s="119"/>
      <c r="I194" s="119"/>
      <c r="J194" s="119"/>
      <c r="K194" s="119"/>
      <c r="L194" s="98"/>
      <c r="M194" s="98"/>
      <c r="N194" s="98"/>
      <c r="O194" s="98"/>
      <c r="P194" s="98"/>
      <c r="Q194" s="98"/>
      <c r="R194" s="98"/>
      <c r="S194" s="104"/>
      <c r="T194" s="105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</row>
    <row r="195" spans="1:59" s="360" customFormat="1" ht="12.75">
      <c r="A195" s="357"/>
      <c r="B195" s="358"/>
      <c r="C195" s="104"/>
      <c r="D195" s="104"/>
      <c r="E195" s="359"/>
      <c r="G195" s="105"/>
      <c r="H195" s="119"/>
      <c r="I195" s="119"/>
      <c r="J195" s="119"/>
      <c r="K195" s="119"/>
      <c r="L195" s="98"/>
      <c r="M195" s="98"/>
      <c r="N195" s="98"/>
      <c r="O195" s="98"/>
      <c r="P195" s="98"/>
      <c r="Q195" s="98"/>
      <c r="R195" s="98"/>
      <c r="S195" s="104"/>
      <c r="T195" s="105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</row>
  </sheetData>
  <mergeCells count="1">
    <mergeCell ref="C3:D3"/>
  </mergeCells>
  <printOptions/>
  <pageMargins left="0.4724409448818898" right="0.31496062992125984" top="0.6692913385826772" bottom="0.9448818897637796" header="0.4724409448818898" footer="0.4724409448818898"/>
  <pageSetup fitToHeight="99" horizontalDpi="600" verticalDpi="600" orientation="portrait" paperSize="9" scale="80" r:id="rId1"/>
  <headerFooter alignWithMargins="0">
    <oddFooter>&amp;L&amp;F
&amp;A&amp;C&amp;P/&amp;N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33"/>
  </sheetPr>
  <dimension ref="A1:BG131"/>
  <sheetViews>
    <sheetView showGridLines="0" view="pageBreakPreview" zoomScaleSheetLayoutView="100" workbookViewId="0" topLeftCell="A1">
      <selection activeCell="G6" sqref="G6"/>
    </sheetView>
  </sheetViews>
  <sheetFormatPr defaultColWidth="9.140625" defaultRowHeight="12.75"/>
  <cols>
    <col min="1" max="1" width="6.8515625" style="357" customWidth="1"/>
    <col min="2" max="2" width="15.140625" style="358" customWidth="1"/>
    <col min="3" max="3" width="47.8515625" style="104" customWidth="1"/>
    <col min="4" max="4" width="10.28125" style="104" customWidth="1"/>
    <col min="5" max="5" width="10.8515625" style="361" customWidth="1"/>
    <col min="6" max="6" width="11.421875" style="360" customWidth="1"/>
    <col min="7" max="7" width="18.140625" style="105" customWidth="1"/>
    <col min="8" max="8" width="14.421875" style="119" customWidth="1"/>
    <col min="9" max="9" width="14.57421875" style="119" customWidth="1"/>
    <col min="10" max="10" width="10.00390625" style="119" customWidth="1"/>
    <col min="11" max="11" width="17.28125" style="119" customWidth="1"/>
    <col min="12" max="12" width="11.7109375" style="98" bestFit="1" customWidth="1"/>
    <col min="13" max="13" width="12.8515625" style="98" bestFit="1" customWidth="1"/>
    <col min="14" max="14" width="11.28125" style="98" bestFit="1" customWidth="1"/>
    <col min="15" max="16" width="9.140625" style="98" customWidth="1"/>
    <col min="17" max="17" width="11.28125" style="98" bestFit="1" customWidth="1"/>
    <col min="18" max="18" width="9.140625" style="98" customWidth="1"/>
    <col min="19" max="19" width="9.140625" style="104" customWidth="1"/>
    <col min="20" max="20" width="10.140625" style="105" bestFit="1" customWidth="1"/>
    <col min="21" max="26" width="9.140625" style="104" customWidth="1"/>
    <col min="27" max="29" width="9.28125" style="104" bestFit="1" customWidth="1"/>
    <col min="30" max="53" width="9.140625" style="104" customWidth="1"/>
    <col min="54" max="54" width="9.28125" style="104" bestFit="1" customWidth="1"/>
    <col min="55" max="55" width="11.00390625" style="104" bestFit="1" customWidth="1"/>
    <col min="56" max="59" width="9.28125" style="104" bestFit="1" customWidth="1"/>
    <col min="60" max="16384" width="9.140625" style="104" customWidth="1"/>
  </cols>
  <sheetData>
    <row r="1" spans="1:20" s="39" customFormat="1" ht="57" customHeight="1">
      <c r="A1" s="387" t="s">
        <v>0</v>
      </c>
      <c r="B1" s="388"/>
      <c r="C1" s="389" t="s">
        <v>84</v>
      </c>
      <c r="D1" s="390"/>
      <c r="E1" s="390"/>
      <c r="F1" s="391"/>
      <c r="G1" s="392" t="s">
        <v>1</v>
      </c>
      <c r="H1" s="393"/>
      <c r="I1" s="393"/>
      <c r="J1" s="393"/>
      <c r="K1" s="393"/>
      <c r="L1" s="38"/>
      <c r="M1" s="38"/>
      <c r="N1" s="38"/>
      <c r="O1" s="38"/>
      <c r="P1" s="38"/>
      <c r="Q1" s="38"/>
      <c r="R1" s="38"/>
      <c r="T1" s="40"/>
    </row>
    <row r="2" spans="1:20" s="88" customFormat="1" ht="29.25" customHeight="1">
      <c r="A2" s="394" t="s">
        <v>2</v>
      </c>
      <c r="B2" s="395"/>
      <c r="C2" s="520" t="s">
        <v>103</v>
      </c>
      <c r="D2" s="102"/>
      <c r="E2" s="396"/>
      <c r="F2" s="397"/>
      <c r="G2" s="398" t="s">
        <v>3</v>
      </c>
      <c r="H2" s="393"/>
      <c r="I2" s="393"/>
      <c r="J2" s="393"/>
      <c r="K2" s="393"/>
      <c r="L2" s="38"/>
      <c r="M2" s="38"/>
      <c r="N2" s="38"/>
      <c r="O2" s="38"/>
      <c r="P2" s="38"/>
      <c r="Q2" s="38"/>
      <c r="R2" s="38"/>
      <c r="T2" s="399"/>
    </row>
    <row r="3" spans="1:20" s="405" customFormat="1" ht="70.5" customHeight="1">
      <c r="A3" s="394" t="s">
        <v>4</v>
      </c>
      <c r="B3" s="395"/>
      <c r="C3" s="657" t="s">
        <v>178</v>
      </c>
      <c r="D3" s="658"/>
      <c r="E3" s="400"/>
      <c r="F3" s="401"/>
      <c r="G3" s="1" t="s">
        <v>237</v>
      </c>
      <c r="H3" s="402"/>
      <c r="I3" s="403"/>
      <c r="J3" s="402"/>
      <c r="K3" s="402"/>
      <c r="L3" s="404"/>
      <c r="M3" s="404"/>
      <c r="N3" s="404"/>
      <c r="O3" s="404"/>
      <c r="P3" s="404"/>
      <c r="Q3" s="404"/>
      <c r="R3" s="404"/>
      <c r="T3" s="406"/>
    </row>
    <row r="4" spans="1:20" s="286" customFormat="1" ht="24" customHeight="1">
      <c r="A4" s="518"/>
      <c r="B4" s="107" t="s">
        <v>873</v>
      </c>
      <c r="C4" s="108" t="s">
        <v>227</v>
      </c>
      <c r="D4" s="109"/>
      <c r="E4" s="407"/>
      <c r="F4" s="110"/>
      <c r="G4" s="111"/>
      <c r="H4" s="283"/>
      <c r="I4" s="283"/>
      <c r="J4" s="283"/>
      <c r="K4" s="283"/>
      <c r="L4" s="255"/>
      <c r="M4" s="255"/>
      <c r="N4" s="255"/>
      <c r="O4" s="255"/>
      <c r="P4" s="255"/>
      <c r="Q4" s="255"/>
      <c r="R4" s="255"/>
      <c r="T4" s="408"/>
    </row>
    <row r="5" spans="1:7" ht="5.25" customHeight="1" thickBot="1">
      <c r="A5" s="113"/>
      <c r="B5" s="114"/>
      <c r="C5" s="115"/>
      <c r="D5" s="115"/>
      <c r="E5" s="116"/>
      <c r="F5" s="117"/>
      <c r="G5" s="118"/>
    </row>
    <row r="6" spans="1:20" s="128" customFormat="1" ht="51.75" customHeight="1" thickBot="1">
      <c r="A6" s="120" t="s">
        <v>5</v>
      </c>
      <c r="B6" s="121"/>
      <c r="C6" s="122" t="s">
        <v>6</v>
      </c>
      <c r="D6" s="123" t="s">
        <v>7</v>
      </c>
      <c r="E6" s="124" t="s">
        <v>8</v>
      </c>
      <c r="F6" s="125" t="s">
        <v>9</v>
      </c>
      <c r="G6" s="126" t="s">
        <v>10</v>
      </c>
      <c r="H6" s="119"/>
      <c r="I6" s="119"/>
      <c r="J6" s="119"/>
      <c r="K6" s="119"/>
      <c r="L6" s="127"/>
      <c r="M6" s="127"/>
      <c r="N6" s="127"/>
      <c r="O6" s="127"/>
      <c r="P6" s="127"/>
      <c r="Q6" s="127"/>
      <c r="R6" s="127"/>
      <c r="T6" s="129"/>
    </row>
    <row r="7" spans="1:20" s="139" customFormat="1" ht="24" customHeight="1" thickTop="1">
      <c r="A7" s="130"/>
      <c r="B7" s="131"/>
      <c r="C7" s="132" t="s">
        <v>11</v>
      </c>
      <c r="D7" s="133"/>
      <c r="E7" s="134"/>
      <c r="F7" s="135"/>
      <c r="G7" s="136"/>
      <c r="H7" s="137"/>
      <c r="I7" s="137"/>
      <c r="J7" s="137"/>
      <c r="K7" s="137"/>
      <c r="L7" s="138"/>
      <c r="M7" s="138"/>
      <c r="N7" s="138"/>
      <c r="O7" s="138"/>
      <c r="P7" s="138"/>
      <c r="Q7" s="138"/>
      <c r="R7" s="138"/>
      <c r="T7" s="140"/>
    </row>
    <row r="8" spans="1:7" s="139" customFormat="1" ht="28.5" customHeight="1">
      <c r="A8" s="130"/>
      <c r="B8" s="131"/>
      <c r="C8" s="229"/>
      <c r="D8" s="133"/>
      <c r="E8" s="134"/>
      <c r="F8" s="135"/>
      <c r="G8" s="136"/>
    </row>
    <row r="9" spans="1:20" s="9" customFormat="1" ht="6" customHeight="1">
      <c r="A9" s="2"/>
      <c r="B9" s="3"/>
      <c r="C9" s="4"/>
      <c r="D9" s="5"/>
      <c r="E9" s="5"/>
      <c r="F9" s="5"/>
      <c r="G9" s="6"/>
      <c r="H9" s="7"/>
      <c r="I9" s="7"/>
      <c r="J9" s="7"/>
      <c r="K9" s="7"/>
      <c r="L9" s="8"/>
      <c r="M9" s="8"/>
      <c r="N9" s="8"/>
      <c r="O9" s="8"/>
      <c r="P9" s="8"/>
      <c r="Q9" s="8"/>
      <c r="R9" s="8"/>
      <c r="T9" s="10"/>
    </row>
    <row r="10" spans="1:20" s="128" customFormat="1" ht="10.5" customHeight="1">
      <c r="A10" s="141"/>
      <c r="B10" s="142"/>
      <c r="C10" s="11"/>
      <c r="D10" s="143"/>
      <c r="E10" s="144"/>
      <c r="F10" s="145"/>
      <c r="G10" s="146"/>
      <c r="H10" s="119"/>
      <c r="I10" s="119"/>
      <c r="J10" s="119"/>
      <c r="K10" s="119"/>
      <c r="L10" s="127"/>
      <c r="M10" s="127"/>
      <c r="N10" s="127"/>
      <c r="O10" s="127"/>
      <c r="P10" s="127"/>
      <c r="Q10" s="127"/>
      <c r="R10" s="127"/>
      <c r="T10" s="129"/>
    </row>
    <row r="11" spans="1:20" s="99" customFormat="1" ht="18" customHeight="1">
      <c r="A11" s="147"/>
      <c r="B11" s="148"/>
      <c r="C11" s="149" t="s">
        <v>12</v>
      </c>
      <c r="D11" s="150"/>
      <c r="E11" s="151"/>
      <c r="F11" s="152"/>
      <c r="G11" s="153"/>
      <c r="H11" s="119"/>
      <c r="I11" s="119"/>
      <c r="J11" s="119"/>
      <c r="K11" s="119"/>
      <c r="L11" s="98"/>
      <c r="M11" s="98"/>
      <c r="N11" s="98"/>
      <c r="O11" s="98"/>
      <c r="P11" s="98"/>
      <c r="Q11" s="98"/>
      <c r="R11" s="98"/>
      <c r="T11" s="100"/>
    </row>
    <row r="12" spans="1:20" s="161" customFormat="1" ht="10.5" customHeight="1">
      <c r="A12" s="147"/>
      <c r="B12" s="154"/>
      <c r="C12" s="155"/>
      <c r="D12" s="156"/>
      <c r="E12" s="157"/>
      <c r="F12" s="158"/>
      <c r="G12" s="159"/>
      <c r="H12" s="119"/>
      <c r="I12" s="119"/>
      <c r="J12" s="119"/>
      <c r="K12" s="119"/>
      <c r="L12" s="160"/>
      <c r="M12" s="160"/>
      <c r="N12" s="160"/>
      <c r="O12" s="160"/>
      <c r="P12" s="160"/>
      <c r="Q12" s="160"/>
      <c r="R12" s="160"/>
      <c r="T12" s="162"/>
    </row>
    <row r="13" spans="1:20" s="9" customFormat="1" ht="6" customHeight="1">
      <c r="A13" s="2"/>
      <c r="B13" s="3"/>
      <c r="C13" s="4"/>
      <c r="D13" s="5"/>
      <c r="E13" s="5"/>
      <c r="F13" s="5"/>
      <c r="G13" s="6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T13" s="10"/>
    </row>
    <row r="14" spans="1:20" s="161" customFormat="1" ht="18" customHeight="1">
      <c r="A14" s="147"/>
      <c r="B14" s="154"/>
      <c r="C14" s="155"/>
      <c r="D14" s="156"/>
      <c r="E14" s="157"/>
      <c r="F14" s="158"/>
      <c r="G14" s="159"/>
      <c r="H14" s="119"/>
      <c r="I14" s="119"/>
      <c r="J14" s="119"/>
      <c r="K14" s="119"/>
      <c r="L14" s="160"/>
      <c r="M14" s="160"/>
      <c r="N14" s="160"/>
      <c r="O14" s="160"/>
      <c r="P14" s="160"/>
      <c r="Q14" s="160"/>
      <c r="R14" s="160"/>
      <c r="T14" s="162"/>
    </row>
    <row r="15" spans="1:20" s="171" customFormat="1" ht="18" customHeight="1">
      <c r="A15" s="163" t="str">
        <f>A21</f>
        <v>1</v>
      </c>
      <c r="B15" s="164" t="s">
        <v>13</v>
      </c>
      <c r="C15" s="166" t="str">
        <f>C21</f>
        <v>Bourání</v>
      </c>
      <c r="D15" s="167"/>
      <c r="E15" s="168"/>
      <c r="F15" s="169"/>
      <c r="G15" s="165">
        <f>G30</f>
        <v>0</v>
      </c>
      <c r="H15" s="137"/>
      <c r="I15" s="137"/>
      <c r="J15" s="137"/>
      <c r="K15" s="137"/>
      <c r="L15" s="170"/>
      <c r="M15" s="170"/>
      <c r="N15" s="170"/>
      <c r="O15" s="170"/>
      <c r="P15" s="170"/>
      <c r="Q15" s="170"/>
      <c r="R15" s="170"/>
      <c r="T15" s="172"/>
    </row>
    <row r="16" spans="1:20" s="171" customFormat="1" ht="18" customHeight="1">
      <c r="A16" s="163" t="str">
        <f>A32</f>
        <v>2</v>
      </c>
      <c r="B16" s="164" t="str">
        <f>B32</f>
        <v>27</v>
      </c>
      <c r="C16" s="166" t="str">
        <f>C32</f>
        <v>Vnější úpravy - Kompletní zateplovací systém ETICS</v>
      </c>
      <c r="D16" s="167"/>
      <c r="E16" s="168"/>
      <c r="F16" s="169"/>
      <c r="G16" s="165">
        <f>G54</f>
        <v>0</v>
      </c>
      <c r="H16" s="137"/>
      <c r="I16" s="137"/>
      <c r="J16" s="137"/>
      <c r="K16" s="137"/>
      <c r="L16" s="170"/>
      <c r="M16" s="170"/>
      <c r="N16" s="170"/>
      <c r="O16" s="170"/>
      <c r="P16" s="170"/>
      <c r="Q16" s="170"/>
      <c r="R16" s="170"/>
      <c r="T16" s="172"/>
    </row>
    <row r="17" spans="1:20" s="171" customFormat="1" ht="18" customHeight="1">
      <c r="A17" s="163" t="str">
        <f>A56</f>
        <v>3</v>
      </c>
      <c r="B17" s="164" t="str">
        <f>B56</f>
        <v>41</v>
      </c>
      <c r="C17" s="166" t="str">
        <f>C56</f>
        <v>Lešení</v>
      </c>
      <c r="D17" s="167"/>
      <c r="E17" s="168"/>
      <c r="F17" s="169"/>
      <c r="G17" s="165">
        <f>G66</f>
        <v>0</v>
      </c>
      <c r="H17" s="137"/>
      <c r="I17" s="137"/>
      <c r="J17" s="137"/>
      <c r="K17" s="137"/>
      <c r="L17" s="170"/>
      <c r="M17" s="170"/>
      <c r="N17" s="170"/>
      <c r="O17" s="170"/>
      <c r="P17" s="170"/>
      <c r="Q17" s="170"/>
      <c r="R17" s="170"/>
      <c r="T17" s="172"/>
    </row>
    <row r="18" spans="1:20" s="99" customFormat="1" ht="18" customHeight="1" thickBot="1">
      <c r="A18" s="180"/>
      <c r="B18" s="181"/>
      <c r="C18" s="182"/>
      <c r="D18" s="182"/>
      <c r="E18" s="183"/>
      <c r="F18" s="184"/>
      <c r="G18" s="185"/>
      <c r="H18" s="119"/>
      <c r="I18" s="119"/>
      <c r="J18" s="119"/>
      <c r="K18" s="119"/>
      <c r="L18" s="98"/>
      <c r="M18" s="98"/>
      <c r="N18" s="98"/>
      <c r="O18" s="98"/>
      <c r="P18" s="98"/>
      <c r="Q18" s="98"/>
      <c r="R18" s="98"/>
      <c r="T18" s="100"/>
    </row>
    <row r="19" spans="1:20" s="194" customFormat="1" ht="23.25" customHeight="1" thickBot="1">
      <c r="A19" s="186"/>
      <c r="B19" s="187"/>
      <c r="C19" s="188" t="s">
        <v>14</v>
      </c>
      <c r="D19" s="188"/>
      <c r="E19" s="189"/>
      <c r="F19" s="190"/>
      <c r="G19" s="191">
        <f>SUM(G15:G18)</f>
        <v>0</v>
      </c>
      <c r="H19" s="192"/>
      <c r="I19" s="192"/>
      <c r="J19" s="192"/>
      <c r="K19" s="192"/>
      <c r="L19" s="193"/>
      <c r="M19" s="193"/>
      <c r="N19" s="193"/>
      <c r="O19" s="193"/>
      <c r="P19" s="193"/>
      <c r="Q19" s="193"/>
      <c r="R19" s="193"/>
      <c r="T19" s="195"/>
    </row>
    <row r="20" spans="1:7" ht="15" customHeight="1" thickBot="1">
      <c r="A20" s="196"/>
      <c r="B20" s="197"/>
      <c r="C20" s="198"/>
      <c r="D20" s="198"/>
      <c r="E20" s="199"/>
      <c r="F20" s="200"/>
      <c r="G20" s="201"/>
    </row>
    <row r="21" spans="1:20" s="210" customFormat="1" ht="16.5" customHeight="1" thickBot="1">
      <c r="A21" s="202" t="s">
        <v>15</v>
      </c>
      <c r="B21" s="203" t="s">
        <v>16</v>
      </c>
      <c r="C21" s="204" t="s">
        <v>17</v>
      </c>
      <c r="D21" s="205"/>
      <c r="E21" s="206"/>
      <c r="F21" s="207"/>
      <c r="G21" s="208"/>
      <c r="H21" s="192"/>
      <c r="I21" s="192"/>
      <c r="J21" s="192"/>
      <c r="K21" s="192"/>
      <c r="L21" s="209"/>
      <c r="M21" s="209"/>
      <c r="N21" s="209"/>
      <c r="O21" s="209"/>
      <c r="P21" s="209"/>
      <c r="Q21" s="209"/>
      <c r="R21" s="209"/>
      <c r="T21" s="211"/>
    </row>
    <row r="22" spans="1:20" s="256" customFormat="1" ht="12.75">
      <c r="A22" s="248"/>
      <c r="B22" s="249"/>
      <c r="C22" s="250"/>
      <c r="D22" s="251"/>
      <c r="E22" s="215"/>
      <c r="F22" s="252"/>
      <c r="G22" s="253"/>
      <c r="H22" s="254"/>
      <c r="I22" s="137"/>
      <c r="J22" s="137"/>
      <c r="K22" s="137"/>
      <c r="L22" s="255"/>
      <c r="M22" s="255"/>
      <c r="N22" s="255"/>
      <c r="O22" s="255"/>
      <c r="P22" s="255"/>
      <c r="Q22" s="255"/>
      <c r="R22" s="255"/>
      <c r="T22" s="257"/>
    </row>
    <row r="23" spans="1:20" s="256" customFormat="1" ht="24" customHeight="1">
      <c r="A23" s="12" t="s">
        <v>136</v>
      </c>
      <c r="B23" s="13" t="s">
        <v>184</v>
      </c>
      <c r="C23" s="14" t="s">
        <v>625</v>
      </c>
      <c r="D23" s="15" t="s">
        <v>18</v>
      </c>
      <c r="E23" s="16">
        <f>SUM(D24)</f>
        <v>125.2</v>
      </c>
      <c r="F23" s="17"/>
      <c r="G23" s="18">
        <f>$E23*F23</f>
        <v>0</v>
      </c>
      <c r="H23" s="254"/>
      <c r="I23" s="137"/>
      <c r="J23" s="137">
        <v>-0.089</v>
      </c>
      <c r="K23" s="533">
        <f>E23*J23</f>
        <v>-11.1428</v>
      </c>
      <c r="L23" s="255"/>
      <c r="M23" s="255"/>
      <c r="N23" s="255"/>
      <c r="O23" s="255"/>
      <c r="P23" s="255"/>
      <c r="Q23" s="255"/>
      <c r="R23" s="255"/>
      <c r="T23" s="257"/>
    </row>
    <row r="24" spans="1:13" s="94" customFormat="1" ht="13.5" customHeight="1">
      <c r="A24" s="92"/>
      <c r="B24" s="325"/>
      <c r="C24" s="526" t="s">
        <v>626</v>
      </c>
      <c r="D24" s="63">
        <f>106.4+8.85+4.45+5.5</f>
        <v>125.2</v>
      </c>
      <c r="E24" s="523"/>
      <c r="F24" s="93"/>
      <c r="G24" s="524"/>
      <c r="H24" s="326"/>
      <c r="I24" s="326"/>
      <c r="J24" s="326"/>
      <c r="K24" s="326"/>
      <c r="L24" s="525"/>
      <c r="M24" s="525"/>
    </row>
    <row r="25" spans="1:20" s="31" customFormat="1" ht="10.5" customHeight="1">
      <c r="A25" s="23"/>
      <c r="B25" s="24"/>
      <c r="C25" s="25"/>
      <c r="D25" s="26"/>
      <c r="E25" s="27"/>
      <c r="F25" s="27"/>
      <c r="G25" s="28"/>
      <c r="H25" s="41"/>
      <c r="I25" s="37"/>
      <c r="J25" s="41"/>
      <c r="K25" s="37"/>
      <c r="L25" s="42"/>
      <c r="M25" s="30"/>
      <c r="N25" s="30"/>
      <c r="O25" s="30"/>
      <c r="P25" s="30"/>
      <c r="Q25" s="30"/>
      <c r="R25" s="30"/>
      <c r="T25" s="32"/>
    </row>
    <row r="26" spans="1:20" s="543" customFormat="1" ht="28.5" customHeight="1">
      <c r="A26" s="12" t="s">
        <v>137</v>
      </c>
      <c r="B26" s="43" t="s">
        <v>68</v>
      </c>
      <c r="C26" s="44" t="s">
        <v>22</v>
      </c>
      <c r="D26" s="45" t="s">
        <v>23</v>
      </c>
      <c r="E26" s="46">
        <f>-K26</f>
        <v>11.1428</v>
      </c>
      <c r="F26" s="46"/>
      <c r="G26" s="18">
        <f>$E26*F26</f>
        <v>0</v>
      </c>
      <c r="H26" s="41"/>
      <c r="I26" s="540">
        <f>SUM(I21:I25)</f>
        <v>0</v>
      </c>
      <c r="J26" s="541"/>
      <c r="K26" s="540">
        <f>SUM(K22:K24)</f>
        <v>-11.1428</v>
      </c>
      <c r="L26" s="42"/>
      <c r="M26" s="542"/>
      <c r="N26" s="542"/>
      <c r="O26" s="542"/>
      <c r="P26" s="542"/>
      <c r="Q26" s="542"/>
      <c r="R26" s="542"/>
      <c r="T26" s="544"/>
    </row>
    <row r="27" spans="1:20" s="543" customFormat="1" ht="22.5" customHeight="1">
      <c r="A27" s="12" t="s">
        <v>138</v>
      </c>
      <c r="B27" s="43" t="s">
        <v>70</v>
      </c>
      <c r="C27" s="44" t="s">
        <v>129</v>
      </c>
      <c r="D27" s="45" t="s">
        <v>23</v>
      </c>
      <c r="E27" s="46">
        <f>E26*9</f>
        <v>100.28519999999999</v>
      </c>
      <c r="F27" s="46"/>
      <c r="G27" s="18">
        <f>$E27*F27</f>
        <v>0</v>
      </c>
      <c r="H27" s="41"/>
      <c r="I27" s="37"/>
      <c r="J27" s="41"/>
      <c r="K27" s="37"/>
      <c r="L27" s="42"/>
      <c r="M27" s="542"/>
      <c r="N27" s="542"/>
      <c r="O27" s="542"/>
      <c r="P27" s="542"/>
      <c r="Q27" s="542"/>
      <c r="R27" s="542"/>
      <c r="T27" s="544"/>
    </row>
    <row r="28" spans="1:20" s="543" customFormat="1" ht="25.5" customHeight="1">
      <c r="A28" s="12" t="s">
        <v>139</v>
      </c>
      <c r="B28" s="43" t="s">
        <v>67</v>
      </c>
      <c r="C28" s="44" t="s">
        <v>627</v>
      </c>
      <c r="D28" s="45" t="s">
        <v>23</v>
      </c>
      <c r="E28" s="46">
        <f>E26</f>
        <v>11.1428</v>
      </c>
      <c r="F28" s="46"/>
      <c r="G28" s="18">
        <f>$E28*F28</f>
        <v>0</v>
      </c>
      <c r="H28" s="41"/>
      <c r="I28" s="37"/>
      <c r="J28" s="41"/>
      <c r="K28" s="37"/>
      <c r="L28" s="542"/>
      <c r="M28" s="542"/>
      <c r="N28" s="542"/>
      <c r="O28" s="542"/>
      <c r="P28" s="542"/>
      <c r="Q28" s="542"/>
      <c r="R28" s="542"/>
      <c r="T28" s="544"/>
    </row>
    <row r="29" spans="1:20" s="50" customFormat="1" ht="11.25" customHeight="1" thickBot="1">
      <c r="A29" s="52"/>
      <c r="B29" s="53"/>
      <c r="C29" s="266"/>
      <c r="D29" s="54"/>
      <c r="E29" s="55"/>
      <c r="F29" s="56"/>
      <c r="G29" s="57"/>
      <c r="H29" s="48"/>
      <c r="I29" s="48"/>
      <c r="J29" s="48"/>
      <c r="K29" s="48"/>
      <c r="L29" s="49"/>
      <c r="M29" s="49"/>
      <c r="N29" s="267"/>
      <c r="O29" s="267"/>
      <c r="P29" s="268"/>
      <c r="Q29" s="269"/>
      <c r="R29" s="49"/>
      <c r="T29" s="51"/>
    </row>
    <row r="30" spans="1:20" s="99" customFormat="1" ht="16.5" customHeight="1" thickBot="1">
      <c r="A30" s="237"/>
      <c r="B30" s="238"/>
      <c r="C30" s="239" t="s">
        <v>24</v>
      </c>
      <c r="D30" s="240"/>
      <c r="E30" s="241"/>
      <c r="F30" s="242"/>
      <c r="G30" s="243">
        <f>SUBTOTAL(9,G22:G29)</f>
        <v>0</v>
      </c>
      <c r="H30" s="119"/>
      <c r="I30" s="192"/>
      <c r="J30" s="119"/>
      <c r="K30" s="119"/>
      <c r="L30" s="98"/>
      <c r="M30" s="98"/>
      <c r="N30" s="98"/>
      <c r="O30" s="98"/>
      <c r="P30" s="98"/>
      <c r="Q30" s="98"/>
      <c r="R30" s="98"/>
      <c r="T30" s="100"/>
    </row>
    <row r="31" spans="1:20" s="99" customFormat="1" ht="13.5" customHeight="1" thickBot="1">
      <c r="A31" s="244"/>
      <c r="B31" s="245"/>
      <c r="C31" s="246"/>
      <c r="D31" s="246"/>
      <c r="E31" s="247"/>
      <c r="F31" s="200"/>
      <c r="G31" s="201"/>
      <c r="H31" s="119"/>
      <c r="I31" s="119"/>
      <c r="J31" s="119"/>
      <c r="K31" s="119"/>
      <c r="L31" s="98"/>
      <c r="M31" s="98"/>
      <c r="N31" s="98"/>
      <c r="O31" s="98"/>
      <c r="P31" s="98"/>
      <c r="Q31" s="98"/>
      <c r="R31" s="98"/>
      <c r="T31" s="100"/>
    </row>
    <row r="32" spans="1:20" s="210" customFormat="1" ht="16.5" customHeight="1" thickBot="1">
      <c r="A32" s="202" t="s">
        <v>25</v>
      </c>
      <c r="B32" s="203" t="s">
        <v>56</v>
      </c>
      <c r="C32" s="204" t="s">
        <v>614</v>
      </c>
      <c r="D32" s="205"/>
      <c r="E32" s="206"/>
      <c r="F32" s="207"/>
      <c r="G32" s="208"/>
      <c r="H32" s="192"/>
      <c r="I32" s="192"/>
      <c r="J32" s="192"/>
      <c r="K32" s="192"/>
      <c r="L32" s="209"/>
      <c r="M32" s="209"/>
      <c r="N32" s="209"/>
      <c r="O32" s="209"/>
      <c r="P32" s="209"/>
      <c r="Q32" s="209"/>
      <c r="R32" s="209"/>
      <c r="T32" s="211"/>
    </row>
    <row r="33" spans="1:20" s="256" customFormat="1" ht="12.75">
      <c r="A33" s="248"/>
      <c r="B33" s="249"/>
      <c r="C33" s="250"/>
      <c r="D33" s="251"/>
      <c r="E33" s="215"/>
      <c r="F33" s="252"/>
      <c r="G33" s="253"/>
      <c r="H33" s="254"/>
      <c r="I33" s="137"/>
      <c r="J33" s="137"/>
      <c r="K33" s="137"/>
      <c r="L33" s="255"/>
      <c r="M33" s="255"/>
      <c r="N33" s="255"/>
      <c r="O33" s="255"/>
      <c r="P33" s="255"/>
      <c r="Q33" s="255"/>
      <c r="R33" s="255"/>
      <c r="T33" s="257"/>
    </row>
    <row r="34" spans="1:27" s="373" customFormat="1" ht="36" customHeight="1">
      <c r="A34" s="364" t="s">
        <v>142</v>
      </c>
      <c r="B34" s="365" t="s">
        <v>632</v>
      </c>
      <c r="C34" s="366" t="s">
        <v>630</v>
      </c>
      <c r="D34" s="367" t="s">
        <v>18</v>
      </c>
      <c r="E34" s="55">
        <v>8.85</v>
      </c>
      <c r="F34" s="368"/>
      <c r="G34" s="18">
        <f aca="true" t="shared" si="0" ref="G34:G51">$E34*F34</f>
        <v>0</v>
      </c>
      <c r="H34" s="230">
        <v>0.00894</v>
      </c>
      <c r="I34" s="230">
        <f aca="true" t="shared" si="1" ref="I34:I39">E34*H34</f>
        <v>0.079119</v>
      </c>
      <c r="J34" s="369"/>
      <c r="K34" s="369"/>
      <c r="L34" s="369"/>
      <c r="M34" s="369"/>
      <c r="N34" s="369"/>
      <c r="O34" s="370"/>
      <c r="P34" s="370"/>
      <c r="Q34" s="370"/>
      <c r="R34" s="370"/>
      <c r="S34" s="370"/>
      <c r="T34" s="371"/>
      <c r="U34" s="371"/>
      <c r="V34" s="372"/>
      <c r="W34" s="372"/>
      <c r="X34" s="372"/>
      <c r="Y34" s="372"/>
      <c r="Z34" s="372"/>
      <c r="AA34" s="372"/>
    </row>
    <row r="35" spans="1:27" s="373" customFormat="1" ht="23.25" customHeight="1">
      <c r="A35" s="364" t="s">
        <v>143</v>
      </c>
      <c r="B35" s="365" t="s">
        <v>611</v>
      </c>
      <c r="C35" s="366" t="s">
        <v>612</v>
      </c>
      <c r="D35" s="367" t="s">
        <v>21</v>
      </c>
      <c r="E35" s="55">
        <f>SUM(D36)</f>
        <v>18.400000000000002</v>
      </c>
      <c r="F35" s="368"/>
      <c r="G35" s="18">
        <f t="shared" si="0"/>
        <v>0</v>
      </c>
      <c r="H35" s="230">
        <v>0</v>
      </c>
      <c r="I35" s="230">
        <f t="shared" si="1"/>
        <v>0</v>
      </c>
      <c r="J35" s="369"/>
      <c r="K35" s="369"/>
      <c r="L35" s="369"/>
      <c r="M35" s="369"/>
      <c r="N35" s="369"/>
      <c r="O35" s="370"/>
      <c r="P35" s="370"/>
      <c r="Q35" s="370"/>
      <c r="R35" s="370"/>
      <c r="S35" s="370"/>
      <c r="T35" s="371"/>
      <c r="U35" s="371"/>
      <c r="V35" s="372"/>
      <c r="W35" s="372"/>
      <c r="X35" s="372"/>
      <c r="Y35" s="372"/>
      <c r="Z35" s="372"/>
      <c r="AA35" s="372"/>
    </row>
    <row r="36" spans="1:13" s="94" customFormat="1" ht="18.75" customHeight="1">
      <c r="A36" s="92"/>
      <c r="B36" s="325"/>
      <c r="C36" s="526" t="s">
        <v>642</v>
      </c>
      <c r="D36" s="63">
        <f>(17.3+0.6+0.5)</f>
        <v>18.400000000000002</v>
      </c>
      <c r="E36" s="523"/>
      <c r="F36" s="93"/>
      <c r="G36" s="524"/>
      <c r="H36" s="326"/>
      <c r="I36" s="326"/>
      <c r="J36" s="326"/>
      <c r="K36" s="326"/>
      <c r="L36" s="525"/>
      <c r="M36" s="525"/>
    </row>
    <row r="37" spans="1:27" s="373" customFormat="1" ht="25.5" customHeight="1">
      <c r="A37" s="364" t="s">
        <v>26</v>
      </c>
      <c r="B37" s="365" t="s">
        <v>613</v>
      </c>
      <c r="C37" s="366" t="s">
        <v>628</v>
      </c>
      <c r="D37" s="367" t="s">
        <v>21</v>
      </c>
      <c r="E37" s="55">
        <f>SUM(D38)</f>
        <v>22.1</v>
      </c>
      <c r="F37" s="368"/>
      <c r="G37" s="18">
        <f t="shared" si="0"/>
        <v>0</v>
      </c>
      <c r="H37" s="230">
        <v>0.00064</v>
      </c>
      <c r="I37" s="230">
        <f t="shared" si="1"/>
        <v>0.014144000000000002</v>
      </c>
      <c r="J37" s="369"/>
      <c r="K37" s="369"/>
      <c r="L37" s="369"/>
      <c r="M37" s="369"/>
      <c r="N37" s="369"/>
      <c r="O37" s="370"/>
      <c r="P37" s="370"/>
      <c r="Q37" s="370"/>
      <c r="R37" s="370"/>
      <c r="S37" s="370"/>
      <c r="T37" s="371"/>
      <c r="U37" s="371"/>
      <c r="V37" s="372"/>
      <c r="W37" s="372"/>
      <c r="X37" s="372"/>
      <c r="Y37" s="372"/>
      <c r="Z37" s="372"/>
      <c r="AA37" s="372"/>
    </row>
    <row r="38" spans="1:13" s="94" customFormat="1" ht="18.75" customHeight="1">
      <c r="A38" s="92"/>
      <c r="B38" s="325"/>
      <c r="C38" s="526" t="s">
        <v>641</v>
      </c>
      <c r="D38" s="63">
        <f>(17.3+0.6+0.5)*1.2+0.02</f>
        <v>22.1</v>
      </c>
      <c r="E38" s="523"/>
      <c r="F38" s="93"/>
      <c r="G38" s="524"/>
      <c r="H38" s="326"/>
      <c r="I38" s="326"/>
      <c r="J38" s="326"/>
      <c r="K38" s="326"/>
      <c r="L38" s="525"/>
      <c r="M38" s="525"/>
    </row>
    <row r="39" spans="1:27" s="373" customFormat="1" ht="35.25" customHeight="1">
      <c r="A39" s="364" t="s">
        <v>144</v>
      </c>
      <c r="B39" s="365" t="s">
        <v>651</v>
      </c>
      <c r="C39" s="366" t="s">
        <v>629</v>
      </c>
      <c r="D39" s="367" t="s">
        <v>18</v>
      </c>
      <c r="E39" s="55">
        <f>SUM(D40)</f>
        <v>116.35000000000001</v>
      </c>
      <c r="F39" s="368"/>
      <c r="G39" s="18">
        <f t="shared" si="0"/>
        <v>0</v>
      </c>
      <c r="H39" s="230">
        <v>0.00932</v>
      </c>
      <c r="I39" s="230">
        <f t="shared" si="1"/>
        <v>1.0843820000000002</v>
      </c>
      <c r="J39" s="369"/>
      <c r="K39" s="369"/>
      <c r="L39" s="369"/>
      <c r="M39" s="369"/>
      <c r="N39" s="369"/>
      <c r="O39" s="370"/>
      <c r="P39" s="370"/>
      <c r="Q39" s="370"/>
      <c r="R39" s="370"/>
      <c r="S39" s="370"/>
      <c r="T39" s="371"/>
      <c r="U39" s="371"/>
      <c r="V39" s="372"/>
      <c r="W39" s="372"/>
      <c r="X39" s="372"/>
      <c r="Y39" s="372"/>
      <c r="Z39" s="372"/>
      <c r="AA39" s="372"/>
    </row>
    <row r="40" spans="1:13" s="94" customFormat="1" ht="13.5" customHeight="1">
      <c r="A40" s="92"/>
      <c r="B40" s="325"/>
      <c r="C40" s="526" t="s">
        <v>643</v>
      </c>
      <c r="D40" s="63">
        <f>106.4+4.45+5.5</f>
        <v>116.35000000000001</v>
      </c>
      <c r="E40" s="523"/>
      <c r="F40" s="93"/>
      <c r="G40" s="524"/>
      <c r="H40" s="326"/>
      <c r="I40" s="326"/>
      <c r="J40" s="326"/>
      <c r="K40" s="326"/>
      <c r="L40" s="525"/>
      <c r="M40" s="525"/>
    </row>
    <row r="41" spans="1:27" s="373" customFormat="1" ht="25.5" customHeight="1">
      <c r="A41" s="364" t="s">
        <v>145</v>
      </c>
      <c r="B41" s="365" t="s">
        <v>652</v>
      </c>
      <c r="C41" s="366" t="s">
        <v>631</v>
      </c>
      <c r="D41" s="367" t="s">
        <v>18</v>
      </c>
      <c r="E41" s="55">
        <f>SUM(D42)</f>
        <v>125.2</v>
      </c>
      <c r="F41" s="368"/>
      <c r="G41" s="18">
        <f t="shared" si="0"/>
        <v>0</v>
      </c>
      <c r="H41" s="230">
        <v>0.035</v>
      </c>
      <c r="I41" s="230">
        <f aca="true" t="shared" si="2" ref="I41:I49">E41*H41</f>
        <v>4.382000000000001</v>
      </c>
      <c r="J41" s="369"/>
      <c r="K41" s="369"/>
      <c r="L41" s="369"/>
      <c r="M41" s="369"/>
      <c r="N41" s="369"/>
      <c r="O41" s="370"/>
      <c r="P41" s="370"/>
      <c r="Q41" s="370"/>
      <c r="R41" s="370"/>
      <c r="S41" s="370"/>
      <c r="T41" s="371"/>
      <c r="U41" s="371"/>
      <c r="V41" s="372"/>
      <c r="W41" s="372"/>
      <c r="X41" s="372"/>
      <c r="Y41" s="372"/>
      <c r="Z41" s="372"/>
      <c r="AA41" s="372"/>
    </row>
    <row r="42" spans="1:13" s="94" customFormat="1" ht="13.5" customHeight="1">
      <c r="A42" s="92"/>
      <c r="B42" s="325"/>
      <c r="C42" s="526" t="s">
        <v>626</v>
      </c>
      <c r="D42" s="63">
        <f>106.4+8.85+4.45+5.5</f>
        <v>125.2</v>
      </c>
      <c r="E42" s="523"/>
      <c r="F42" s="93"/>
      <c r="G42" s="524"/>
      <c r="H42" s="326"/>
      <c r="I42" s="326"/>
      <c r="J42" s="326"/>
      <c r="K42" s="326"/>
      <c r="L42" s="525"/>
      <c r="M42" s="525"/>
    </row>
    <row r="43" spans="1:27" s="373" customFormat="1" ht="21" customHeight="1">
      <c r="A43" s="364" t="s">
        <v>146</v>
      </c>
      <c r="B43" s="614" t="s">
        <v>653</v>
      </c>
      <c r="C43" s="586" t="s">
        <v>647</v>
      </c>
      <c r="D43" s="615" t="s">
        <v>21</v>
      </c>
      <c r="E43" s="55">
        <f>SUM(D44)</f>
        <v>36.6</v>
      </c>
      <c r="F43" s="587"/>
      <c r="G43" s="18">
        <f t="shared" si="0"/>
        <v>0</v>
      </c>
      <c r="H43" s="230">
        <v>0.00045</v>
      </c>
      <c r="I43" s="230">
        <f t="shared" si="2"/>
        <v>0.01647</v>
      </c>
      <c r="J43" s="369"/>
      <c r="K43" s="369"/>
      <c r="L43" s="369"/>
      <c r="M43" s="369"/>
      <c r="N43" s="369"/>
      <c r="O43" s="370"/>
      <c r="P43" s="370"/>
      <c r="Q43" s="370"/>
      <c r="R43" s="370"/>
      <c r="S43" s="370"/>
      <c r="T43" s="371"/>
      <c r="U43" s="371"/>
      <c r="V43" s="372"/>
      <c r="W43" s="372"/>
      <c r="X43" s="372"/>
      <c r="Y43" s="372"/>
      <c r="Z43" s="372"/>
      <c r="AA43" s="372"/>
    </row>
    <row r="44" spans="1:13" s="94" customFormat="1" ht="18" customHeight="1">
      <c r="A44" s="92"/>
      <c r="B44" s="325"/>
      <c r="C44" s="526" t="s">
        <v>644</v>
      </c>
      <c r="D44" s="63">
        <f>9*2+9.3*2</f>
        <v>36.6</v>
      </c>
      <c r="E44" s="523"/>
      <c r="F44" s="93"/>
      <c r="G44" s="524"/>
      <c r="H44" s="326"/>
      <c r="I44" s="326"/>
      <c r="J44" s="326"/>
      <c r="K44" s="326"/>
      <c r="L44" s="525"/>
      <c r="M44" s="525"/>
    </row>
    <row r="45" spans="1:27" s="373" customFormat="1" ht="34.5" customHeight="1">
      <c r="A45" s="364" t="s">
        <v>262</v>
      </c>
      <c r="B45" s="614" t="s">
        <v>648</v>
      </c>
      <c r="C45" s="586" t="s">
        <v>649</v>
      </c>
      <c r="D45" s="615" t="s">
        <v>18</v>
      </c>
      <c r="E45" s="55">
        <f>SUM(D46)</f>
        <v>5.3999999999999995</v>
      </c>
      <c r="F45" s="587"/>
      <c r="G45" s="18">
        <f t="shared" si="0"/>
        <v>0</v>
      </c>
      <c r="H45" s="230">
        <v>0.01246</v>
      </c>
      <c r="I45" s="230">
        <f t="shared" si="2"/>
        <v>0.067284</v>
      </c>
      <c r="J45" s="369"/>
      <c r="K45" s="369"/>
      <c r="L45" s="369"/>
      <c r="M45" s="369"/>
      <c r="N45" s="369"/>
      <c r="O45" s="370"/>
      <c r="P45" s="370"/>
      <c r="Q45" s="370"/>
      <c r="R45" s="370"/>
      <c r="S45" s="370"/>
      <c r="T45" s="371"/>
      <c r="U45" s="371"/>
      <c r="V45" s="372"/>
      <c r="W45" s="372"/>
      <c r="X45" s="372"/>
      <c r="Y45" s="372"/>
      <c r="Z45" s="372"/>
      <c r="AA45" s="372"/>
    </row>
    <row r="46" spans="1:13" s="94" customFormat="1" ht="18" customHeight="1">
      <c r="A46" s="92"/>
      <c r="B46" s="606"/>
      <c r="C46" s="607" t="s">
        <v>650</v>
      </c>
      <c r="D46" s="63">
        <f>2.25*1.2*2</f>
        <v>5.3999999999999995</v>
      </c>
      <c r="E46" s="609"/>
      <c r="F46" s="93"/>
      <c r="G46" s="608"/>
      <c r="H46" s="326"/>
      <c r="I46" s="326"/>
      <c r="J46" s="326"/>
      <c r="K46" s="326"/>
      <c r="L46" s="525"/>
      <c r="M46" s="525"/>
    </row>
    <row r="47" spans="1:27" s="373" customFormat="1" ht="21" customHeight="1">
      <c r="A47" s="364" t="s">
        <v>263</v>
      </c>
      <c r="B47" s="365" t="s">
        <v>1034</v>
      </c>
      <c r="C47" s="366" t="s">
        <v>1033</v>
      </c>
      <c r="D47" s="367" t="s">
        <v>18</v>
      </c>
      <c r="E47" s="55">
        <v>5.4</v>
      </c>
      <c r="F47" s="368"/>
      <c r="G47" s="18">
        <f t="shared" si="0"/>
        <v>0</v>
      </c>
      <c r="H47" s="230">
        <v>0.004523</v>
      </c>
      <c r="I47" s="230">
        <f t="shared" si="2"/>
        <v>0.024424200000000004</v>
      </c>
      <c r="J47" s="369"/>
      <c r="K47" s="369"/>
      <c r="L47" s="369"/>
      <c r="M47" s="369"/>
      <c r="N47" s="369"/>
      <c r="O47" s="370"/>
      <c r="P47" s="370"/>
      <c r="Q47" s="370"/>
      <c r="R47" s="370"/>
      <c r="S47" s="370"/>
      <c r="T47" s="371"/>
      <c r="U47" s="371"/>
      <c r="V47" s="372"/>
      <c r="W47" s="372"/>
      <c r="X47" s="372"/>
      <c r="Y47" s="372"/>
      <c r="Z47" s="372"/>
      <c r="AA47" s="372"/>
    </row>
    <row r="48" spans="1:13" s="94" customFormat="1" ht="18" customHeight="1">
      <c r="A48" s="92"/>
      <c r="B48" s="606"/>
      <c r="C48" s="607"/>
      <c r="D48" s="63"/>
      <c r="E48" s="609"/>
      <c r="F48" s="93"/>
      <c r="G48" s="608"/>
      <c r="H48" s="326"/>
      <c r="I48" s="326"/>
      <c r="J48" s="326"/>
      <c r="K48" s="326"/>
      <c r="L48" s="525"/>
      <c r="M48" s="525"/>
    </row>
    <row r="49" spans="1:13" s="21" customFormat="1" ht="18" customHeight="1">
      <c r="A49" s="364" t="s">
        <v>264</v>
      </c>
      <c r="B49" s="610" t="s">
        <v>655</v>
      </c>
      <c r="C49" s="611" t="s">
        <v>654</v>
      </c>
      <c r="D49" s="17" t="s">
        <v>21</v>
      </c>
      <c r="E49" s="612">
        <v>4.5</v>
      </c>
      <c r="F49" s="17"/>
      <c r="G49" s="18">
        <f t="shared" si="0"/>
        <v>0</v>
      </c>
      <c r="H49" s="230">
        <v>0.00559</v>
      </c>
      <c r="I49" s="230">
        <f t="shared" si="2"/>
        <v>0.025155</v>
      </c>
      <c r="J49" s="531"/>
      <c r="K49" s="531"/>
      <c r="L49" s="613"/>
      <c r="M49" s="613"/>
    </row>
    <row r="50" spans="1:13" s="94" customFormat="1" ht="18" customHeight="1">
      <c r="A50" s="92"/>
      <c r="B50" s="606"/>
      <c r="C50" s="607"/>
      <c r="D50" s="63"/>
      <c r="E50" s="609"/>
      <c r="F50" s="93"/>
      <c r="G50" s="608"/>
      <c r="H50" s="230"/>
      <c r="I50" s="230"/>
      <c r="J50" s="326"/>
      <c r="K50" s="326"/>
      <c r="L50" s="525"/>
      <c r="M50" s="525"/>
    </row>
    <row r="51" spans="1:13" s="21" customFormat="1" ht="18" customHeight="1">
      <c r="A51" s="364" t="s">
        <v>265</v>
      </c>
      <c r="B51" s="610" t="s">
        <v>657</v>
      </c>
      <c r="C51" s="611" t="s">
        <v>656</v>
      </c>
      <c r="D51" s="17" t="s">
        <v>18</v>
      </c>
      <c r="E51" s="612">
        <f>SUM(D52)</f>
        <v>5.3999999999999995</v>
      </c>
      <c r="F51" s="17"/>
      <c r="G51" s="18">
        <f t="shared" si="0"/>
        <v>0</v>
      </c>
      <c r="H51" s="230"/>
      <c r="I51" s="230"/>
      <c r="J51" s="531"/>
      <c r="K51" s="531"/>
      <c r="L51" s="613"/>
      <c r="M51" s="613"/>
    </row>
    <row r="52" spans="1:13" s="94" customFormat="1" ht="18" customHeight="1">
      <c r="A52" s="605"/>
      <c r="B52" s="606"/>
      <c r="C52" s="607" t="s">
        <v>650</v>
      </c>
      <c r="D52" s="63">
        <f>2.25*1.2*2</f>
        <v>5.3999999999999995</v>
      </c>
      <c r="E52" s="609"/>
      <c r="F52" s="93"/>
      <c r="G52" s="608"/>
      <c r="H52" s="326"/>
      <c r="I52" s="326"/>
      <c r="J52" s="326"/>
      <c r="K52" s="326"/>
      <c r="L52" s="525"/>
      <c r="M52" s="525"/>
    </row>
    <row r="53" spans="1:20" s="256" customFormat="1" ht="13.5" thickBot="1">
      <c r="A53" s="270"/>
      <c r="B53" s="271"/>
      <c r="C53" s="272"/>
      <c r="D53" s="273"/>
      <c r="E53" s="236"/>
      <c r="F53" s="274"/>
      <c r="G53" s="275"/>
      <c r="H53" s="137"/>
      <c r="I53" s="137"/>
      <c r="J53" s="137"/>
      <c r="K53" s="137"/>
      <c r="L53" s="255"/>
      <c r="M53" s="255"/>
      <c r="N53" s="255"/>
      <c r="O53" s="255"/>
      <c r="P53" s="255"/>
      <c r="Q53" s="255"/>
      <c r="R53" s="255"/>
      <c r="T53" s="257"/>
    </row>
    <row r="54" spans="1:20" s="99" customFormat="1" ht="16.5" customHeight="1" thickBot="1">
      <c r="A54" s="237"/>
      <c r="B54" s="238"/>
      <c r="C54" s="239" t="s">
        <v>24</v>
      </c>
      <c r="D54" s="276"/>
      <c r="E54" s="277"/>
      <c r="F54" s="278"/>
      <c r="G54" s="243">
        <f>SUBTOTAL(9,G33:G53)</f>
        <v>0</v>
      </c>
      <c r="H54" s="119"/>
      <c r="I54" s="192">
        <f>SUM(I33:I53)</f>
        <v>5.692978200000001</v>
      </c>
      <c r="J54" s="119"/>
      <c r="K54" s="119"/>
      <c r="L54" s="98"/>
      <c r="M54" s="98"/>
      <c r="N54" s="98"/>
      <c r="O54" s="98"/>
      <c r="P54" s="98"/>
      <c r="Q54" s="98"/>
      <c r="R54" s="98"/>
      <c r="T54" s="100"/>
    </row>
    <row r="55" spans="1:20" s="99" customFormat="1" ht="13.5" customHeight="1" thickBot="1">
      <c r="A55" s="244"/>
      <c r="B55" s="245"/>
      <c r="C55" s="246"/>
      <c r="D55" s="279"/>
      <c r="E55" s="280"/>
      <c r="F55" s="281"/>
      <c r="G55" s="201"/>
      <c r="H55" s="119"/>
      <c r="I55" s="119"/>
      <c r="J55" s="119"/>
      <c r="K55" s="119"/>
      <c r="L55" s="98"/>
      <c r="M55" s="98"/>
      <c r="N55" s="98"/>
      <c r="O55" s="98"/>
      <c r="P55" s="98"/>
      <c r="Q55" s="98"/>
      <c r="R55" s="98"/>
      <c r="T55" s="100"/>
    </row>
    <row r="56" spans="1:20" s="210" customFormat="1" ht="16.5" customHeight="1" thickBot="1">
      <c r="A56" s="202" t="s">
        <v>13</v>
      </c>
      <c r="B56" s="203" t="s">
        <v>58</v>
      </c>
      <c r="C56" s="204" t="s">
        <v>645</v>
      </c>
      <c r="D56" s="205"/>
      <c r="E56" s="206"/>
      <c r="F56" s="207"/>
      <c r="G56" s="208"/>
      <c r="H56" s="192"/>
      <c r="I56" s="192"/>
      <c r="J56" s="192"/>
      <c r="K56" s="192"/>
      <c r="L56" s="209"/>
      <c r="M56" s="209"/>
      <c r="N56" s="209"/>
      <c r="O56" s="209"/>
      <c r="P56" s="209"/>
      <c r="Q56" s="209"/>
      <c r="R56" s="209"/>
      <c r="T56" s="211"/>
    </row>
    <row r="57" spans="1:20" s="79" customFormat="1" ht="12.75">
      <c r="A57" s="70"/>
      <c r="B57" s="71"/>
      <c r="C57" s="72"/>
      <c r="D57" s="73"/>
      <c r="E57" s="74"/>
      <c r="F57" s="75"/>
      <c r="G57" s="76"/>
      <c r="H57" s="77"/>
      <c r="I57" s="77"/>
      <c r="J57" s="77"/>
      <c r="K57" s="77"/>
      <c r="L57" s="78"/>
      <c r="M57" s="78"/>
      <c r="N57" s="78"/>
      <c r="O57" s="78"/>
      <c r="P57" s="78"/>
      <c r="Q57" s="78"/>
      <c r="R57" s="78"/>
      <c r="T57" s="80"/>
    </row>
    <row r="58" spans="1:20" s="59" customFormat="1" ht="18" customHeight="1">
      <c r="A58" s="12" t="s">
        <v>28</v>
      </c>
      <c r="B58" s="33" t="s">
        <v>633</v>
      </c>
      <c r="C58" s="14" t="s">
        <v>634</v>
      </c>
      <c r="D58" s="15" t="s">
        <v>18</v>
      </c>
      <c r="E58" s="17">
        <f>SUM(D59)</f>
        <v>218</v>
      </c>
      <c r="F58" s="17"/>
      <c r="G58" s="18">
        <f>$E58*F58</f>
        <v>0</v>
      </c>
      <c r="H58" s="19">
        <v>0.01838</v>
      </c>
      <c r="I58" s="19">
        <f>E58*H58</f>
        <v>4.00684</v>
      </c>
      <c r="J58" s="19"/>
      <c r="K58" s="37"/>
      <c r="L58" s="58"/>
      <c r="M58" s="20"/>
      <c r="N58" s="20"/>
      <c r="O58" s="20"/>
      <c r="P58" s="20"/>
      <c r="Q58" s="20"/>
      <c r="R58" s="20"/>
      <c r="T58" s="60"/>
    </row>
    <row r="59" spans="1:13" s="381" customFormat="1" ht="18.75" customHeight="1">
      <c r="A59" s="219"/>
      <c r="B59" s="375"/>
      <c r="C59" s="376" t="s">
        <v>646</v>
      </c>
      <c r="D59" s="377">
        <f>(17.2+1.5*2+0.8*2)*10</f>
        <v>218</v>
      </c>
      <c r="E59" s="91"/>
      <c r="F59" s="378"/>
      <c r="G59" s="519"/>
      <c r="H59" s="379"/>
      <c r="I59" s="379"/>
      <c r="J59" s="379"/>
      <c r="K59" s="379"/>
      <c r="L59" s="380"/>
      <c r="M59" s="380"/>
    </row>
    <row r="60" spans="1:20" s="262" customFormat="1" ht="19.5" customHeight="1">
      <c r="A60" s="258" t="s">
        <v>29</v>
      </c>
      <c r="B60" s="33" t="s">
        <v>635</v>
      </c>
      <c r="C60" s="259" t="s">
        <v>636</v>
      </c>
      <c r="D60" s="15" t="s">
        <v>18</v>
      </c>
      <c r="E60" s="228">
        <f>E58</f>
        <v>218</v>
      </c>
      <c r="F60" s="228"/>
      <c r="G60" s="218">
        <f>$E60*F60</f>
        <v>0</v>
      </c>
      <c r="H60" s="230">
        <v>0.00095</v>
      </c>
      <c r="I60" s="230">
        <f>E60*H60</f>
        <v>0.2071</v>
      </c>
      <c r="J60" s="230"/>
      <c r="K60" s="230"/>
      <c r="L60" s="261"/>
      <c r="M60" s="261"/>
      <c r="N60" s="261"/>
      <c r="O60" s="261"/>
      <c r="P60" s="261"/>
      <c r="Q60" s="261"/>
      <c r="R60" s="261"/>
      <c r="T60" s="263"/>
    </row>
    <row r="61" spans="1:20" s="225" customFormat="1" ht="11.25" customHeight="1">
      <c r="A61" s="219"/>
      <c r="B61" s="220"/>
      <c r="C61" s="264"/>
      <c r="D61" s="221"/>
      <c r="E61" s="265"/>
      <c r="F61" s="221"/>
      <c r="G61" s="222"/>
      <c r="H61" s="223"/>
      <c r="I61" s="223"/>
      <c r="J61" s="223"/>
      <c r="K61" s="223"/>
      <c r="L61" s="224"/>
      <c r="M61" s="224"/>
      <c r="N61" s="224"/>
      <c r="O61" s="224"/>
      <c r="P61" s="224"/>
      <c r="Q61" s="224"/>
      <c r="R61" s="224"/>
      <c r="T61" s="226"/>
    </row>
    <row r="62" spans="1:20" s="262" customFormat="1" ht="19.5" customHeight="1">
      <c r="A62" s="258" t="s">
        <v>30</v>
      </c>
      <c r="B62" s="33" t="s">
        <v>637</v>
      </c>
      <c r="C62" s="259" t="s">
        <v>638</v>
      </c>
      <c r="D62" s="333" t="s">
        <v>18</v>
      </c>
      <c r="E62" s="228">
        <f>E58</f>
        <v>218</v>
      </c>
      <c r="F62" s="228"/>
      <c r="G62" s="218">
        <f>$E62*F62</f>
        <v>0</v>
      </c>
      <c r="H62" s="230">
        <v>0</v>
      </c>
      <c r="I62" s="230">
        <f>E62*H62</f>
        <v>0</v>
      </c>
      <c r="J62" s="230"/>
      <c r="K62" s="230"/>
      <c r="L62" s="261"/>
      <c r="M62" s="261"/>
      <c r="N62" s="261"/>
      <c r="O62" s="261"/>
      <c r="P62" s="261"/>
      <c r="Q62" s="261"/>
      <c r="R62" s="261"/>
      <c r="T62" s="263"/>
    </row>
    <row r="63" spans="1:20" s="256" customFormat="1" ht="16.5" customHeight="1">
      <c r="A63" s="301"/>
      <c r="B63" s="331"/>
      <c r="C63" s="558"/>
      <c r="D63" s="559"/>
      <c r="E63" s="17"/>
      <c r="F63" s="335"/>
      <c r="G63" s="34"/>
      <c r="H63" s="283"/>
      <c r="I63" s="283"/>
      <c r="J63" s="283"/>
      <c r="K63" s="283"/>
      <c r="L63" s="255"/>
      <c r="M63" s="255"/>
      <c r="N63" s="255"/>
      <c r="O63" s="255"/>
      <c r="P63" s="255"/>
      <c r="Q63" s="255"/>
      <c r="R63" s="255"/>
      <c r="T63" s="257"/>
    </row>
    <row r="64" spans="1:20" s="256" customFormat="1" ht="21" customHeight="1">
      <c r="A64" s="258" t="s">
        <v>31</v>
      </c>
      <c r="B64" s="557" t="s">
        <v>639</v>
      </c>
      <c r="C64" s="558" t="s">
        <v>640</v>
      </c>
      <c r="D64" s="559" t="s">
        <v>23</v>
      </c>
      <c r="E64" s="17">
        <f>SUM(I66)</f>
        <v>9.906918200000002</v>
      </c>
      <c r="F64" s="228"/>
      <c r="G64" s="34">
        <f aca="true" t="shared" si="3" ref="G64">$E64*F64</f>
        <v>0</v>
      </c>
      <c r="H64" s="283"/>
      <c r="I64" s="283"/>
      <c r="J64" s="283"/>
      <c r="K64" s="283"/>
      <c r="L64" s="255"/>
      <c r="M64" s="255"/>
      <c r="N64" s="255"/>
      <c r="O64" s="255"/>
      <c r="P64" s="255"/>
      <c r="Q64" s="255"/>
      <c r="R64" s="255"/>
      <c r="T64" s="257"/>
    </row>
    <row r="65" spans="1:20" s="79" customFormat="1" ht="17.25" customHeight="1" thickBot="1">
      <c r="A65" s="81"/>
      <c r="B65" s="82"/>
      <c r="C65" s="83"/>
      <c r="D65" s="84"/>
      <c r="E65" s="85"/>
      <c r="F65" s="86"/>
      <c r="G65" s="87"/>
      <c r="H65" s="77"/>
      <c r="I65" s="77"/>
      <c r="J65" s="77"/>
      <c r="K65" s="77"/>
      <c r="L65" s="78"/>
      <c r="M65" s="78"/>
      <c r="N65" s="78"/>
      <c r="O65" s="78"/>
      <c r="P65" s="78"/>
      <c r="Q65" s="78"/>
      <c r="R65" s="78"/>
      <c r="T65" s="80"/>
    </row>
    <row r="66" spans="1:20" s="99" customFormat="1" ht="16.5" customHeight="1" thickBot="1">
      <c r="A66" s="237"/>
      <c r="B66" s="238"/>
      <c r="C66" s="239"/>
      <c r="D66" s="240"/>
      <c r="E66" s="282"/>
      <c r="F66" s="278"/>
      <c r="G66" s="243">
        <f>SUBTOTAL(9,G57:G65)</f>
        <v>0</v>
      </c>
      <c r="H66" s="283"/>
      <c r="I66" s="284">
        <f>SUM(I54:I65)</f>
        <v>9.906918200000002</v>
      </c>
      <c r="J66" s="283"/>
      <c r="K66" s="283"/>
      <c r="L66" s="98"/>
      <c r="M66" s="98"/>
      <c r="N66" s="98"/>
      <c r="O66" s="98"/>
      <c r="P66" s="98"/>
      <c r="Q66" s="98"/>
      <c r="R66" s="98"/>
      <c r="T66" s="100"/>
    </row>
    <row r="67" spans="1:20" s="99" customFormat="1" ht="13.7" customHeight="1" thickBot="1">
      <c r="A67" s="244"/>
      <c r="B67" s="245"/>
      <c r="C67" s="246"/>
      <c r="D67" s="246"/>
      <c r="E67" s="285"/>
      <c r="F67" s="281"/>
      <c r="G67" s="201"/>
      <c r="H67" s="283"/>
      <c r="I67" s="283"/>
      <c r="J67" s="283"/>
      <c r="K67" s="283"/>
      <c r="L67" s="98"/>
      <c r="M67" s="98"/>
      <c r="N67" s="98"/>
      <c r="O67" s="98"/>
      <c r="P67" s="98"/>
      <c r="Q67" s="98"/>
      <c r="R67" s="98"/>
      <c r="T67" s="100"/>
    </row>
    <row r="68" spans="1:20" s="355" customFormat="1" ht="30.75" customHeight="1" thickBot="1">
      <c r="A68" s="186"/>
      <c r="B68" s="348"/>
      <c r="C68" s="349" t="s">
        <v>53</v>
      </c>
      <c r="D68" s="349"/>
      <c r="E68" s="350"/>
      <c r="F68" s="351"/>
      <c r="G68" s="352">
        <f>SUBTOTAL(9,G21:G67)</f>
        <v>0</v>
      </c>
      <c r="H68" s="353"/>
      <c r="I68" s="353"/>
      <c r="J68" s="353"/>
      <c r="K68" s="353"/>
      <c r="L68" s="354"/>
      <c r="M68" s="354"/>
      <c r="N68" s="354"/>
      <c r="O68" s="354"/>
      <c r="P68" s="354"/>
      <c r="Q68" s="354"/>
      <c r="R68" s="354"/>
      <c r="T68" s="356"/>
    </row>
    <row r="69" ht="12.75">
      <c r="E69" s="359"/>
    </row>
    <row r="70" ht="12.75">
      <c r="E70" s="359"/>
    </row>
    <row r="71" ht="12.75">
      <c r="E71" s="359"/>
    </row>
    <row r="72" ht="12.75">
      <c r="E72" s="359"/>
    </row>
    <row r="73" ht="12.75">
      <c r="E73" s="359"/>
    </row>
    <row r="74" ht="12.75">
      <c r="E74" s="359"/>
    </row>
    <row r="75" ht="12.75">
      <c r="E75" s="359"/>
    </row>
    <row r="76" spans="1:59" s="360" customFormat="1" ht="12.75">
      <c r="A76" s="357"/>
      <c r="B76" s="358"/>
      <c r="C76" s="104"/>
      <c r="D76" s="104"/>
      <c r="E76" s="359"/>
      <c r="G76" s="105"/>
      <c r="H76" s="119"/>
      <c r="I76" s="119"/>
      <c r="J76" s="119"/>
      <c r="K76" s="119"/>
      <c r="L76" s="98"/>
      <c r="M76" s="98"/>
      <c r="N76" s="98"/>
      <c r="O76" s="98"/>
      <c r="P76" s="98"/>
      <c r="Q76" s="98"/>
      <c r="R76" s="98"/>
      <c r="S76" s="104"/>
      <c r="T76" s="105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59" s="360" customFormat="1" ht="12.75">
      <c r="A77" s="357"/>
      <c r="B77" s="358"/>
      <c r="C77" s="104"/>
      <c r="D77" s="104"/>
      <c r="E77" s="359"/>
      <c r="G77" s="105"/>
      <c r="H77" s="119"/>
      <c r="I77" s="119"/>
      <c r="J77" s="119"/>
      <c r="K77" s="119"/>
      <c r="L77" s="98"/>
      <c r="M77" s="98"/>
      <c r="N77" s="98"/>
      <c r="O77" s="98"/>
      <c r="P77" s="98"/>
      <c r="Q77" s="98"/>
      <c r="R77" s="98"/>
      <c r="S77" s="104"/>
      <c r="T77" s="105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</row>
    <row r="78" spans="1:59" s="360" customFormat="1" ht="12.75">
      <c r="A78" s="357"/>
      <c r="B78" s="358"/>
      <c r="C78" s="104"/>
      <c r="D78" s="104"/>
      <c r="E78" s="359"/>
      <c r="G78" s="105"/>
      <c r="H78" s="119"/>
      <c r="I78" s="119"/>
      <c r="J78" s="119"/>
      <c r="K78" s="119"/>
      <c r="L78" s="98"/>
      <c r="M78" s="98"/>
      <c r="N78" s="98"/>
      <c r="O78" s="98"/>
      <c r="P78" s="98"/>
      <c r="Q78" s="98"/>
      <c r="R78" s="98"/>
      <c r="S78" s="104"/>
      <c r="T78" s="105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59" s="360" customFormat="1" ht="12.75">
      <c r="A79" s="357"/>
      <c r="B79" s="358"/>
      <c r="C79" s="104"/>
      <c r="D79" s="104"/>
      <c r="E79" s="359"/>
      <c r="G79" s="105"/>
      <c r="H79" s="119"/>
      <c r="I79" s="119"/>
      <c r="J79" s="119"/>
      <c r="K79" s="119"/>
      <c r="L79" s="98"/>
      <c r="M79" s="98"/>
      <c r="N79" s="98"/>
      <c r="O79" s="98"/>
      <c r="P79" s="98"/>
      <c r="Q79" s="98"/>
      <c r="R79" s="98"/>
      <c r="S79" s="104"/>
      <c r="T79" s="105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59" s="360" customFormat="1" ht="12.75">
      <c r="A80" s="357"/>
      <c r="B80" s="358"/>
      <c r="C80" s="104"/>
      <c r="D80" s="104"/>
      <c r="E80" s="359"/>
      <c r="G80" s="105"/>
      <c r="H80" s="119"/>
      <c r="I80" s="119"/>
      <c r="J80" s="119"/>
      <c r="K80" s="119"/>
      <c r="L80" s="98"/>
      <c r="M80" s="98"/>
      <c r="N80" s="98"/>
      <c r="O80" s="98"/>
      <c r="P80" s="98"/>
      <c r="Q80" s="98"/>
      <c r="R80" s="98"/>
      <c r="S80" s="104"/>
      <c r="T80" s="105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1:59" s="360" customFormat="1" ht="12.75">
      <c r="A81" s="357"/>
      <c r="B81" s="358"/>
      <c r="C81" s="104"/>
      <c r="D81" s="104"/>
      <c r="E81" s="359"/>
      <c r="G81" s="105"/>
      <c r="H81" s="119"/>
      <c r="I81" s="119"/>
      <c r="J81" s="119"/>
      <c r="K81" s="119"/>
      <c r="L81" s="98"/>
      <c r="M81" s="98"/>
      <c r="N81" s="98"/>
      <c r="O81" s="98"/>
      <c r="P81" s="98"/>
      <c r="Q81" s="98"/>
      <c r="R81" s="98"/>
      <c r="S81" s="104"/>
      <c r="T81" s="105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 s="360" customFormat="1" ht="12.75">
      <c r="A82" s="357"/>
      <c r="B82" s="358"/>
      <c r="C82" s="104"/>
      <c r="D82" s="104"/>
      <c r="E82" s="359"/>
      <c r="G82" s="105"/>
      <c r="H82" s="119"/>
      <c r="I82" s="119"/>
      <c r="J82" s="119"/>
      <c r="K82" s="119"/>
      <c r="L82" s="98"/>
      <c r="M82" s="98"/>
      <c r="N82" s="98"/>
      <c r="O82" s="98"/>
      <c r="P82" s="98"/>
      <c r="Q82" s="98"/>
      <c r="R82" s="98"/>
      <c r="S82" s="104"/>
      <c r="T82" s="105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59" s="360" customFormat="1" ht="12.75">
      <c r="A83" s="357"/>
      <c r="B83" s="358"/>
      <c r="C83" s="104"/>
      <c r="D83" s="104"/>
      <c r="E83" s="359"/>
      <c r="G83" s="105"/>
      <c r="H83" s="119"/>
      <c r="I83" s="119"/>
      <c r="J83" s="119"/>
      <c r="K83" s="119"/>
      <c r="L83" s="98"/>
      <c r="M83" s="98"/>
      <c r="N83" s="98"/>
      <c r="O83" s="98"/>
      <c r="P83" s="98"/>
      <c r="Q83" s="98"/>
      <c r="R83" s="98"/>
      <c r="S83" s="104"/>
      <c r="T83" s="105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</row>
    <row r="84" spans="1:59" s="360" customFormat="1" ht="12.75">
      <c r="A84" s="357"/>
      <c r="B84" s="358"/>
      <c r="C84" s="104"/>
      <c r="D84" s="104"/>
      <c r="E84" s="359"/>
      <c r="G84" s="105"/>
      <c r="H84" s="119"/>
      <c r="I84" s="119"/>
      <c r="J84" s="119"/>
      <c r="K84" s="119"/>
      <c r="L84" s="98"/>
      <c r="M84" s="98"/>
      <c r="N84" s="98"/>
      <c r="O84" s="98"/>
      <c r="P84" s="98"/>
      <c r="Q84" s="98"/>
      <c r="R84" s="98"/>
      <c r="S84" s="104"/>
      <c r="T84" s="105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59" s="360" customFormat="1" ht="12.75">
      <c r="A85" s="357"/>
      <c r="B85" s="358"/>
      <c r="C85" s="104"/>
      <c r="D85" s="104"/>
      <c r="E85" s="359"/>
      <c r="G85" s="105"/>
      <c r="H85" s="119"/>
      <c r="I85" s="119"/>
      <c r="J85" s="119"/>
      <c r="K85" s="119"/>
      <c r="L85" s="98"/>
      <c r="M85" s="98"/>
      <c r="N85" s="98"/>
      <c r="O85" s="98"/>
      <c r="P85" s="98"/>
      <c r="Q85" s="98"/>
      <c r="R85" s="98"/>
      <c r="S85" s="104"/>
      <c r="T85" s="105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59" s="360" customFormat="1" ht="12.75">
      <c r="A86" s="357"/>
      <c r="B86" s="358"/>
      <c r="C86" s="104"/>
      <c r="D86" s="104"/>
      <c r="E86" s="359"/>
      <c r="G86" s="105"/>
      <c r="H86" s="119"/>
      <c r="I86" s="119"/>
      <c r="J86" s="119"/>
      <c r="K86" s="119"/>
      <c r="L86" s="98"/>
      <c r="M86" s="98"/>
      <c r="N86" s="98"/>
      <c r="O86" s="98"/>
      <c r="P86" s="98"/>
      <c r="Q86" s="98"/>
      <c r="R86" s="98"/>
      <c r="S86" s="104"/>
      <c r="T86" s="105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</row>
    <row r="87" spans="1:59" s="360" customFormat="1" ht="12.75">
      <c r="A87" s="357"/>
      <c r="B87" s="358"/>
      <c r="C87" s="104"/>
      <c r="D87" s="104"/>
      <c r="E87" s="359"/>
      <c r="G87" s="105"/>
      <c r="H87" s="119"/>
      <c r="I87" s="119"/>
      <c r="J87" s="119"/>
      <c r="K87" s="119"/>
      <c r="L87" s="98"/>
      <c r="M87" s="98"/>
      <c r="N87" s="98"/>
      <c r="O87" s="98"/>
      <c r="P87" s="98"/>
      <c r="Q87" s="98"/>
      <c r="R87" s="98"/>
      <c r="S87" s="104"/>
      <c r="T87" s="105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</row>
    <row r="88" spans="1:59" s="360" customFormat="1" ht="12.75">
      <c r="A88" s="357"/>
      <c r="B88" s="358"/>
      <c r="C88" s="104"/>
      <c r="D88" s="104"/>
      <c r="E88" s="359"/>
      <c r="G88" s="105"/>
      <c r="H88" s="119"/>
      <c r="I88" s="119"/>
      <c r="J88" s="119"/>
      <c r="K88" s="119"/>
      <c r="L88" s="98"/>
      <c r="M88" s="98"/>
      <c r="N88" s="98"/>
      <c r="O88" s="98"/>
      <c r="P88" s="98"/>
      <c r="Q88" s="98"/>
      <c r="R88" s="98"/>
      <c r="S88" s="104"/>
      <c r="T88" s="105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59" s="360" customFormat="1" ht="12.75">
      <c r="A89" s="357"/>
      <c r="B89" s="358"/>
      <c r="C89" s="104"/>
      <c r="D89" s="104"/>
      <c r="E89" s="359"/>
      <c r="G89" s="105"/>
      <c r="H89" s="119"/>
      <c r="I89" s="119"/>
      <c r="J89" s="119"/>
      <c r="K89" s="119"/>
      <c r="L89" s="98"/>
      <c r="M89" s="98"/>
      <c r="N89" s="98"/>
      <c r="O89" s="98"/>
      <c r="P89" s="98"/>
      <c r="Q89" s="98"/>
      <c r="R89" s="98"/>
      <c r="S89" s="104"/>
      <c r="T89" s="105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</row>
    <row r="90" spans="1:59" s="360" customFormat="1" ht="12.75">
      <c r="A90" s="357"/>
      <c r="B90" s="358"/>
      <c r="C90" s="104"/>
      <c r="D90" s="104"/>
      <c r="E90" s="359"/>
      <c r="G90" s="105"/>
      <c r="H90" s="119"/>
      <c r="I90" s="119"/>
      <c r="J90" s="119"/>
      <c r="K90" s="119"/>
      <c r="L90" s="98"/>
      <c r="M90" s="98"/>
      <c r="N90" s="98"/>
      <c r="O90" s="98"/>
      <c r="P90" s="98"/>
      <c r="Q90" s="98"/>
      <c r="R90" s="98"/>
      <c r="S90" s="104"/>
      <c r="T90" s="105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</row>
    <row r="91" spans="1:59" s="360" customFormat="1" ht="12.75">
      <c r="A91" s="357"/>
      <c r="B91" s="358"/>
      <c r="C91" s="104"/>
      <c r="D91" s="104"/>
      <c r="E91" s="359"/>
      <c r="G91" s="105"/>
      <c r="H91" s="119"/>
      <c r="I91" s="119"/>
      <c r="J91" s="119"/>
      <c r="K91" s="119"/>
      <c r="L91" s="98"/>
      <c r="M91" s="98"/>
      <c r="N91" s="98"/>
      <c r="O91" s="98"/>
      <c r="P91" s="98"/>
      <c r="Q91" s="98"/>
      <c r="R91" s="98"/>
      <c r="S91" s="104"/>
      <c r="T91" s="105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</row>
    <row r="92" spans="1:59" s="360" customFormat="1" ht="12.75">
      <c r="A92" s="357"/>
      <c r="B92" s="358"/>
      <c r="C92" s="104"/>
      <c r="D92" s="104"/>
      <c r="E92" s="359"/>
      <c r="G92" s="105"/>
      <c r="H92" s="119"/>
      <c r="I92" s="119"/>
      <c r="J92" s="119"/>
      <c r="K92" s="119"/>
      <c r="L92" s="98"/>
      <c r="M92" s="98"/>
      <c r="N92" s="98"/>
      <c r="O92" s="98"/>
      <c r="P92" s="98"/>
      <c r="Q92" s="98"/>
      <c r="R92" s="98"/>
      <c r="S92" s="104"/>
      <c r="T92" s="105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</row>
    <row r="93" spans="1:59" s="360" customFormat="1" ht="12.75">
      <c r="A93" s="357"/>
      <c r="B93" s="358"/>
      <c r="C93" s="104"/>
      <c r="D93" s="104"/>
      <c r="E93" s="359"/>
      <c r="G93" s="105"/>
      <c r="H93" s="119"/>
      <c r="I93" s="119"/>
      <c r="J93" s="119"/>
      <c r="K93" s="119"/>
      <c r="L93" s="98"/>
      <c r="M93" s="98"/>
      <c r="N93" s="98"/>
      <c r="O93" s="98"/>
      <c r="P93" s="98"/>
      <c r="Q93" s="98"/>
      <c r="R93" s="98"/>
      <c r="S93" s="104"/>
      <c r="T93" s="105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</row>
    <row r="94" spans="1:59" s="360" customFormat="1" ht="12.75">
      <c r="A94" s="357"/>
      <c r="B94" s="358"/>
      <c r="C94" s="104"/>
      <c r="D94" s="104"/>
      <c r="E94" s="359"/>
      <c r="G94" s="105"/>
      <c r="H94" s="119"/>
      <c r="I94" s="119"/>
      <c r="J94" s="119"/>
      <c r="K94" s="119"/>
      <c r="L94" s="98"/>
      <c r="M94" s="98"/>
      <c r="N94" s="98"/>
      <c r="O94" s="98"/>
      <c r="P94" s="98"/>
      <c r="Q94" s="98"/>
      <c r="R94" s="98"/>
      <c r="S94" s="104"/>
      <c r="T94" s="105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</row>
    <row r="95" spans="1:59" s="360" customFormat="1" ht="12.75">
      <c r="A95" s="357"/>
      <c r="B95" s="358"/>
      <c r="C95" s="104"/>
      <c r="D95" s="104"/>
      <c r="E95" s="359"/>
      <c r="G95" s="105"/>
      <c r="H95" s="119"/>
      <c r="I95" s="119"/>
      <c r="J95" s="119"/>
      <c r="K95" s="119"/>
      <c r="L95" s="98"/>
      <c r="M95" s="98"/>
      <c r="N95" s="98"/>
      <c r="O95" s="98"/>
      <c r="P95" s="98"/>
      <c r="Q95" s="98"/>
      <c r="R95" s="98"/>
      <c r="S95" s="104"/>
      <c r="T95" s="105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</row>
    <row r="96" spans="1:59" s="360" customFormat="1" ht="12.75">
      <c r="A96" s="357"/>
      <c r="B96" s="358"/>
      <c r="C96" s="104"/>
      <c r="D96" s="104"/>
      <c r="E96" s="359"/>
      <c r="G96" s="105"/>
      <c r="H96" s="119"/>
      <c r="I96" s="119"/>
      <c r="J96" s="119"/>
      <c r="K96" s="119"/>
      <c r="L96" s="98"/>
      <c r="M96" s="98"/>
      <c r="N96" s="98"/>
      <c r="O96" s="98"/>
      <c r="P96" s="98"/>
      <c r="Q96" s="98"/>
      <c r="R96" s="98"/>
      <c r="S96" s="104"/>
      <c r="T96" s="105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</row>
    <row r="97" spans="1:59" s="360" customFormat="1" ht="12.75">
      <c r="A97" s="357"/>
      <c r="B97" s="358"/>
      <c r="C97" s="104"/>
      <c r="D97" s="104"/>
      <c r="E97" s="359"/>
      <c r="G97" s="105"/>
      <c r="H97" s="119"/>
      <c r="I97" s="119"/>
      <c r="J97" s="119"/>
      <c r="K97" s="119"/>
      <c r="L97" s="98"/>
      <c r="M97" s="98"/>
      <c r="N97" s="98"/>
      <c r="O97" s="98"/>
      <c r="P97" s="98"/>
      <c r="Q97" s="98"/>
      <c r="R97" s="98"/>
      <c r="S97" s="104"/>
      <c r="T97" s="105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</row>
    <row r="98" spans="1:59" s="360" customFormat="1" ht="12.75">
      <c r="A98" s="357"/>
      <c r="B98" s="358"/>
      <c r="C98" s="104"/>
      <c r="D98" s="104"/>
      <c r="E98" s="359"/>
      <c r="G98" s="105"/>
      <c r="H98" s="119"/>
      <c r="I98" s="119"/>
      <c r="J98" s="119"/>
      <c r="K98" s="119"/>
      <c r="L98" s="98"/>
      <c r="M98" s="98"/>
      <c r="N98" s="98"/>
      <c r="O98" s="98"/>
      <c r="P98" s="98"/>
      <c r="Q98" s="98"/>
      <c r="R98" s="98"/>
      <c r="S98" s="104"/>
      <c r="T98" s="105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</row>
    <row r="99" spans="1:59" s="360" customFormat="1" ht="12.75">
      <c r="A99" s="357"/>
      <c r="B99" s="358"/>
      <c r="C99" s="104"/>
      <c r="D99" s="104"/>
      <c r="E99" s="359"/>
      <c r="G99" s="105"/>
      <c r="H99" s="119"/>
      <c r="I99" s="119"/>
      <c r="J99" s="119"/>
      <c r="K99" s="119"/>
      <c r="L99" s="98"/>
      <c r="M99" s="98"/>
      <c r="N99" s="98"/>
      <c r="O99" s="98"/>
      <c r="P99" s="98"/>
      <c r="Q99" s="98"/>
      <c r="R99" s="98"/>
      <c r="S99" s="104"/>
      <c r="T99" s="105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</row>
    <row r="100" spans="1:59" s="360" customFormat="1" ht="12.75">
      <c r="A100" s="357"/>
      <c r="B100" s="358"/>
      <c r="C100" s="104"/>
      <c r="D100" s="104"/>
      <c r="E100" s="359"/>
      <c r="G100" s="105"/>
      <c r="H100" s="119"/>
      <c r="I100" s="119"/>
      <c r="J100" s="119"/>
      <c r="K100" s="119"/>
      <c r="L100" s="98"/>
      <c r="M100" s="98"/>
      <c r="N100" s="98"/>
      <c r="O100" s="98"/>
      <c r="P100" s="98"/>
      <c r="Q100" s="98"/>
      <c r="R100" s="98"/>
      <c r="S100" s="104"/>
      <c r="T100" s="105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</row>
    <row r="101" spans="1:59" s="360" customFormat="1" ht="12.75">
      <c r="A101" s="357"/>
      <c r="B101" s="358"/>
      <c r="C101" s="104"/>
      <c r="D101" s="104"/>
      <c r="E101" s="359"/>
      <c r="G101" s="105"/>
      <c r="H101" s="119"/>
      <c r="I101" s="119"/>
      <c r="J101" s="119"/>
      <c r="K101" s="119"/>
      <c r="L101" s="98"/>
      <c r="M101" s="98"/>
      <c r="N101" s="98"/>
      <c r="O101" s="98"/>
      <c r="P101" s="98"/>
      <c r="Q101" s="98"/>
      <c r="R101" s="98"/>
      <c r="S101" s="104"/>
      <c r="T101" s="105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</row>
    <row r="102" spans="1:59" s="360" customFormat="1" ht="12.75">
      <c r="A102" s="357"/>
      <c r="B102" s="358"/>
      <c r="C102" s="104"/>
      <c r="D102" s="104"/>
      <c r="E102" s="359"/>
      <c r="G102" s="105"/>
      <c r="H102" s="119"/>
      <c r="I102" s="119"/>
      <c r="J102" s="119"/>
      <c r="K102" s="119"/>
      <c r="L102" s="98"/>
      <c r="M102" s="98"/>
      <c r="N102" s="98"/>
      <c r="O102" s="98"/>
      <c r="P102" s="98"/>
      <c r="Q102" s="98"/>
      <c r="R102" s="98"/>
      <c r="S102" s="104"/>
      <c r="T102" s="105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</row>
    <row r="103" spans="1:59" s="360" customFormat="1" ht="12.75">
      <c r="A103" s="357"/>
      <c r="B103" s="358"/>
      <c r="C103" s="104"/>
      <c r="D103" s="104"/>
      <c r="E103" s="359"/>
      <c r="G103" s="105"/>
      <c r="H103" s="119"/>
      <c r="I103" s="119"/>
      <c r="J103" s="119"/>
      <c r="K103" s="119"/>
      <c r="L103" s="98"/>
      <c r="M103" s="98"/>
      <c r="N103" s="98"/>
      <c r="O103" s="98"/>
      <c r="P103" s="98"/>
      <c r="Q103" s="98"/>
      <c r="R103" s="98"/>
      <c r="S103" s="104"/>
      <c r="T103" s="105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</row>
    <row r="104" spans="1:59" s="360" customFormat="1" ht="12.75">
      <c r="A104" s="357"/>
      <c r="B104" s="358"/>
      <c r="C104" s="104"/>
      <c r="D104" s="104"/>
      <c r="E104" s="359"/>
      <c r="G104" s="105"/>
      <c r="H104" s="119"/>
      <c r="I104" s="119"/>
      <c r="J104" s="119"/>
      <c r="K104" s="119"/>
      <c r="L104" s="98"/>
      <c r="M104" s="98"/>
      <c r="N104" s="98"/>
      <c r="O104" s="98"/>
      <c r="P104" s="98"/>
      <c r="Q104" s="98"/>
      <c r="R104" s="98"/>
      <c r="S104" s="104"/>
      <c r="T104" s="105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</row>
    <row r="105" spans="1:59" s="360" customFormat="1" ht="12.75">
      <c r="A105" s="357"/>
      <c r="B105" s="358"/>
      <c r="C105" s="104"/>
      <c r="D105" s="104"/>
      <c r="E105" s="359"/>
      <c r="G105" s="105"/>
      <c r="H105" s="119"/>
      <c r="I105" s="119"/>
      <c r="J105" s="119"/>
      <c r="K105" s="119"/>
      <c r="L105" s="98"/>
      <c r="M105" s="98"/>
      <c r="N105" s="98"/>
      <c r="O105" s="98"/>
      <c r="P105" s="98"/>
      <c r="Q105" s="98"/>
      <c r="R105" s="98"/>
      <c r="S105" s="104"/>
      <c r="T105" s="105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</row>
    <row r="106" spans="1:59" s="360" customFormat="1" ht="12.75">
      <c r="A106" s="357"/>
      <c r="B106" s="358"/>
      <c r="C106" s="104"/>
      <c r="D106" s="104"/>
      <c r="E106" s="359"/>
      <c r="G106" s="105"/>
      <c r="H106" s="119"/>
      <c r="I106" s="119"/>
      <c r="J106" s="119"/>
      <c r="K106" s="119"/>
      <c r="L106" s="98"/>
      <c r="M106" s="98"/>
      <c r="N106" s="98"/>
      <c r="O106" s="98"/>
      <c r="P106" s="98"/>
      <c r="Q106" s="98"/>
      <c r="R106" s="98"/>
      <c r="S106" s="104"/>
      <c r="T106" s="105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</row>
    <row r="107" spans="1:59" s="360" customFormat="1" ht="12.75">
      <c r="A107" s="357"/>
      <c r="B107" s="358"/>
      <c r="C107" s="104"/>
      <c r="D107" s="104"/>
      <c r="E107" s="359"/>
      <c r="G107" s="105"/>
      <c r="H107" s="119"/>
      <c r="I107" s="119"/>
      <c r="J107" s="119"/>
      <c r="K107" s="119"/>
      <c r="L107" s="98"/>
      <c r="M107" s="98"/>
      <c r="N107" s="98"/>
      <c r="O107" s="98"/>
      <c r="P107" s="98"/>
      <c r="Q107" s="98"/>
      <c r="R107" s="98"/>
      <c r="S107" s="104"/>
      <c r="T107" s="105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</row>
    <row r="108" spans="1:59" s="360" customFormat="1" ht="12.75">
      <c r="A108" s="357"/>
      <c r="B108" s="358"/>
      <c r="C108" s="104"/>
      <c r="D108" s="104"/>
      <c r="E108" s="359"/>
      <c r="G108" s="105"/>
      <c r="H108" s="119"/>
      <c r="I108" s="119"/>
      <c r="J108" s="119"/>
      <c r="K108" s="119"/>
      <c r="L108" s="98"/>
      <c r="M108" s="98"/>
      <c r="N108" s="98"/>
      <c r="O108" s="98"/>
      <c r="P108" s="98"/>
      <c r="Q108" s="98"/>
      <c r="R108" s="98"/>
      <c r="S108" s="104"/>
      <c r="T108" s="105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</row>
    <row r="109" spans="1:59" s="360" customFormat="1" ht="12.75">
      <c r="A109" s="357"/>
      <c r="B109" s="358"/>
      <c r="C109" s="104"/>
      <c r="D109" s="104"/>
      <c r="E109" s="359"/>
      <c r="G109" s="105"/>
      <c r="H109" s="119"/>
      <c r="I109" s="119"/>
      <c r="J109" s="119"/>
      <c r="K109" s="119"/>
      <c r="L109" s="98"/>
      <c r="M109" s="98"/>
      <c r="N109" s="98"/>
      <c r="O109" s="98"/>
      <c r="P109" s="98"/>
      <c r="Q109" s="98"/>
      <c r="R109" s="98"/>
      <c r="S109" s="104"/>
      <c r="T109" s="105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</row>
    <row r="110" spans="1:59" s="360" customFormat="1" ht="12.75">
      <c r="A110" s="357"/>
      <c r="B110" s="358"/>
      <c r="C110" s="104"/>
      <c r="D110" s="104"/>
      <c r="E110" s="359"/>
      <c r="G110" s="105"/>
      <c r="H110" s="119"/>
      <c r="I110" s="119"/>
      <c r="J110" s="119"/>
      <c r="K110" s="119"/>
      <c r="L110" s="98"/>
      <c r="M110" s="98"/>
      <c r="N110" s="98"/>
      <c r="O110" s="98"/>
      <c r="P110" s="98"/>
      <c r="Q110" s="98"/>
      <c r="R110" s="98"/>
      <c r="S110" s="104"/>
      <c r="T110" s="105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</row>
    <row r="111" spans="1:59" s="360" customFormat="1" ht="12.75">
      <c r="A111" s="357"/>
      <c r="B111" s="358"/>
      <c r="C111" s="104"/>
      <c r="D111" s="104"/>
      <c r="E111" s="359"/>
      <c r="G111" s="105"/>
      <c r="H111" s="119"/>
      <c r="I111" s="119"/>
      <c r="J111" s="119"/>
      <c r="K111" s="119"/>
      <c r="L111" s="98"/>
      <c r="M111" s="98"/>
      <c r="N111" s="98"/>
      <c r="O111" s="98"/>
      <c r="P111" s="98"/>
      <c r="Q111" s="98"/>
      <c r="R111" s="98"/>
      <c r="S111" s="104"/>
      <c r="T111" s="105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</row>
    <row r="112" spans="1:59" s="360" customFormat="1" ht="12.75">
      <c r="A112" s="357"/>
      <c r="B112" s="358"/>
      <c r="C112" s="104"/>
      <c r="D112" s="104"/>
      <c r="E112" s="359"/>
      <c r="G112" s="105"/>
      <c r="H112" s="119"/>
      <c r="I112" s="119"/>
      <c r="J112" s="119"/>
      <c r="K112" s="119"/>
      <c r="L112" s="98"/>
      <c r="M112" s="98"/>
      <c r="N112" s="98"/>
      <c r="O112" s="98"/>
      <c r="P112" s="98"/>
      <c r="Q112" s="98"/>
      <c r="R112" s="98"/>
      <c r="S112" s="104"/>
      <c r="T112" s="105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</row>
    <row r="113" spans="1:59" s="360" customFormat="1" ht="12.75">
      <c r="A113" s="357"/>
      <c r="B113" s="358"/>
      <c r="C113" s="104"/>
      <c r="D113" s="104"/>
      <c r="E113" s="359"/>
      <c r="G113" s="105"/>
      <c r="H113" s="119"/>
      <c r="I113" s="119"/>
      <c r="J113" s="119"/>
      <c r="K113" s="119"/>
      <c r="L113" s="98"/>
      <c r="M113" s="98"/>
      <c r="N113" s="98"/>
      <c r="O113" s="98"/>
      <c r="P113" s="98"/>
      <c r="Q113" s="98"/>
      <c r="R113" s="98"/>
      <c r="S113" s="104"/>
      <c r="T113" s="105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</row>
    <row r="114" spans="1:59" s="360" customFormat="1" ht="12.75">
      <c r="A114" s="357"/>
      <c r="B114" s="358"/>
      <c r="C114" s="104"/>
      <c r="D114" s="104"/>
      <c r="E114" s="359"/>
      <c r="G114" s="105"/>
      <c r="H114" s="119"/>
      <c r="I114" s="119"/>
      <c r="J114" s="119"/>
      <c r="K114" s="119"/>
      <c r="L114" s="98"/>
      <c r="M114" s="98"/>
      <c r="N114" s="98"/>
      <c r="O114" s="98"/>
      <c r="P114" s="98"/>
      <c r="Q114" s="98"/>
      <c r="R114" s="98"/>
      <c r="S114" s="104"/>
      <c r="T114" s="105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</row>
    <row r="115" spans="1:59" s="360" customFormat="1" ht="12.75">
      <c r="A115" s="357"/>
      <c r="B115" s="358"/>
      <c r="C115" s="104"/>
      <c r="D115" s="104"/>
      <c r="E115" s="359"/>
      <c r="G115" s="105"/>
      <c r="H115" s="119"/>
      <c r="I115" s="119"/>
      <c r="J115" s="119"/>
      <c r="K115" s="119"/>
      <c r="L115" s="98"/>
      <c r="M115" s="98"/>
      <c r="N115" s="98"/>
      <c r="O115" s="98"/>
      <c r="P115" s="98"/>
      <c r="Q115" s="98"/>
      <c r="R115" s="98"/>
      <c r="S115" s="104"/>
      <c r="T115" s="105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</row>
    <row r="116" spans="1:59" s="360" customFormat="1" ht="12.75">
      <c r="A116" s="357"/>
      <c r="B116" s="358"/>
      <c r="C116" s="104"/>
      <c r="D116" s="104"/>
      <c r="E116" s="359"/>
      <c r="G116" s="105"/>
      <c r="H116" s="119"/>
      <c r="I116" s="119"/>
      <c r="J116" s="119"/>
      <c r="K116" s="119"/>
      <c r="L116" s="98"/>
      <c r="M116" s="98"/>
      <c r="N116" s="98"/>
      <c r="O116" s="98"/>
      <c r="P116" s="98"/>
      <c r="Q116" s="98"/>
      <c r="R116" s="98"/>
      <c r="S116" s="104"/>
      <c r="T116" s="105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</row>
    <row r="117" spans="1:59" s="360" customFormat="1" ht="12.75">
      <c r="A117" s="357"/>
      <c r="B117" s="358"/>
      <c r="C117" s="104"/>
      <c r="D117" s="104"/>
      <c r="E117" s="359"/>
      <c r="G117" s="105"/>
      <c r="H117" s="119"/>
      <c r="I117" s="119"/>
      <c r="J117" s="119"/>
      <c r="K117" s="119"/>
      <c r="L117" s="98"/>
      <c r="M117" s="98"/>
      <c r="N117" s="98"/>
      <c r="O117" s="98"/>
      <c r="P117" s="98"/>
      <c r="Q117" s="98"/>
      <c r="R117" s="98"/>
      <c r="S117" s="104"/>
      <c r="T117" s="105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</row>
    <row r="118" spans="1:59" s="360" customFormat="1" ht="12.75">
      <c r="A118" s="357"/>
      <c r="B118" s="358"/>
      <c r="C118" s="104"/>
      <c r="D118" s="104"/>
      <c r="E118" s="359"/>
      <c r="G118" s="105"/>
      <c r="H118" s="119"/>
      <c r="I118" s="119"/>
      <c r="J118" s="119"/>
      <c r="K118" s="119"/>
      <c r="L118" s="98"/>
      <c r="M118" s="98"/>
      <c r="N118" s="98"/>
      <c r="O118" s="98"/>
      <c r="P118" s="98"/>
      <c r="Q118" s="98"/>
      <c r="R118" s="98"/>
      <c r="S118" s="104"/>
      <c r="T118" s="105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</row>
    <row r="119" spans="1:59" s="360" customFormat="1" ht="12.75">
      <c r="A119" s="357"/>
      <c r="B119" s="358"/>
      <c r="C119" s="104"/>
      <c r="D119" s="104"/>
      <c r="E119" s="359"/>
      <c r="G119" s="105"/>
      <c r="H119" s="119"/>
      <c r="I119" s="119"/>
      <c r="J119" s="119"/>
      <c r="K119" s="119"/>
      <c r="L119" s="98"/>
      <c r="M119" s="98"/>
      <c r="N119" s="98"/>
      <c r="O119" s="98"/>
      <c r="P119" s="98"/>
      <c r="Q119" s="98"/>
      <c r="R119" s="98"/>
      <c r="S119" s="104"/>
      <c r="T119" s="105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</row>
    <row r="120" spans="1:59" s="360" customFormat="1" ht="12.75">
      <c r="A120" s="357"/>
      <c r="B120" s="358"/>
      <c r="C120" s="104"/>
      <c r="D120" s="104"/>
      <c r="E120" s="359"/>
      <c r="G120" s="105"/>
      <c r="H120" s="119"/>
      <c r="I120" s="119"/>
      <c r="J120" s="119"/>
      <c r="K120" s="119"/>
      <c r="L120" s="98"/>
      <c r="M120" s="98"/>
      <c r="N120" s="98"/>
      <c r="O120" s="98"/>
      <c r="P120" s="98"/>
      <c r="Q120" s="98"/>
      <c r="R120" s="98"/>
      <c r="S120" s="104"/>
      <c r="T120" s="105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</row>
    <row r="121" spans="1:59" s="360" customFormat="1" ht="12.75">
      <c r="A121" s="357"/>
      <c r="B121" s="358"/>
      <c r="C121" s="104"/>
      <c r="D121" s="104"/>
      <c r="E121" s="359"/>
      <c r="G121" s="105"/>
      <c r="H121" s="119"/>
      <c r="I121" s="119"/>
      <c r="J121" s="119"/>
      <c r="K121" s="119"/>
      <c r="L121" s="98"/>
      <c r="M121" s="98"/>
      <c r="N121" s="98"/>
      <c r="O121" s="98"/>
      <c r="P121" s="98"/>
      <c r="Q121" s="98"/>
      <c r="R121" s="98"/>
      <c r="S121" s="104"/>
      <c r="T121" s="105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</row>
    <row r="122" spans="1:59" s="360" customFormat="1" ht="12.75">
      <c r="A122" s="357"/>
      <c r="B122" s="358"/>
      <c r="C122" s="104"/>
      <c r="D122" s="104"/>
      <c r="E122" s="359"/>
      <c r="G122" s="105"/>
      <c r="H122" s="119"/>
      <c r="I122" s="119"/>
      <c r="J122" s="119"/>
      <c r="K122" s="119"/>
      <c r="L122" s="98"/>
      <c r="M122" s="98"/>
      <c r="N122" s="98"/>
      <c r="O122" s="98"/>
      <c r="P122" s="98"/>
      <c r="Q122" s="98"/>
      <c r="R122" s="98"/>
      <c r="S122" s="104"/>
      <c r="T122" s="105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</row>
    <row r="123" spans="1:59" s="360" customFormat="1" ht="12.75">
      <c r="A123" s="357"/>
      <c r="B123" s="358"/>
      <c r="C123" s="104"/>
      <c r="D123" s="104"/>
      <c r="E123" s="359"/>
      <c r="G123" s="105"/>
      <c r="H123" s="119"/>
      <c r="I123" s="119"/>
      <c r="J123" s="119"/>
      <c r="K123" s="119"/>
      <c r="L123" s="98"/>
      <c r="M123" s="98"/>
      <c r="N123" s="98"/>
      <c r="O123" s="98"/>
      <c r="P123" s="98"/>
      <c r="Q123" s="98"/>
      <c r="R123" s="98"/>
      <c r="S123" s="104"/>
      <c r="T123" s="105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</row>
    <row r="124" spans="1:59" s="360" customFormat="1" ht="12.75">
      <c r="A124" s="357"/>
      <c r="B124" s="358"/>
      <c r="C124" s="104"/>
      <c r="D124" s="104"/>
      <c r="E124" s="359"/>
      <c r="G124" s="105"/>
      <c r="H124" s="119"/>
      <c r="I124" s="119"/>
      <c r="J124" s="119"/>
      <c r="K124" s="119"/>
      <c r="L124" s="98"/>
      <c r="M124" s="98"/>
      <c r="N124" s="98"/>
      <c r="O124" s="98"/>
      <c r="P124" s="98"/>
      <c r="Q124" s="98"/>
      <c r="R124" s="98"/>
      <c r="S124" s="104"/>
      <c r="T124" s="105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</row>
    <row r="125" spans="1:59" s="360" customFormat="1" ht="12.75">
      <c r="A125" s="357"/>
      <c r="B125" s="358"/>
      <c r="C125" s="104"/>
      <c r="D125" s="104"/>
      <c r="E125" s="359"/>
      <c r="G125" s="105"/>
      <c r="H125" s="119"/>
      <c r="I125" s="119"/>
      <c r="J125" s="119"/>
      <c r="K125" s="119"/>
      <c r="L125" s="98"/>
      <c r="M125" s="98"/>
      <c r="N125" s="98"/>
      <c r="O125" s="98"/>
      <c r="P125" s="98"/>
      <c r="Q125" s="98"/>
      <c r="R125" s="98"/>
      <c r="S125" s="104"/>
      <c r="T125" s="105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</row>
    <row r="126" spans="1:59" s="360" customFormat="1" ht="12.75">
      <c r="A126" s="357"/>
      <c r="B126" s="358"/>
      <c r="C126" s="104"/>
      <c r="D126" s="104"/>
      <c r="E126" s="359"/>
      <c r="G126" s="105"/>
      <c r="H126" s="119"/>
      <c r="I126" s="119"/>
      <c r="J126" s="119"/>
      <c r="K126" s="119"/>
      <c r="L126" s="98"/>
      <c r="M126" s="98"/>
      <c r="N126" s="98"/>
      <c r="O126" s="98"/>
      <c r="P126" s="98"/>
      <c r="Q126" s="98"/>
      <c r="R126" s="98"/>
      <c r="S126" s="104"/>
      <c r="T126" s="105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</row>
    <row r="127" spans="1:59" s="360" customFormat="1" ht="12.75">
      <c r="A127" s="357"/>
      <c r="B127" s="358"/>
      <c r="C127" s="104"/>
      <c r="D127" s="104"/>
      <c r="E127" s="359"/>
      <c r="G127" s="105"/>
      <c r="H127" s="119"/>
      <c r="I127" s="119"/>
      <c r="J127" s="119"/>
      <c r="K127" s="119"/>
      <c r="L127" s="98"/>
      <c r="M127" s="98"/>
      <c r="N127" s="98"/>
      <c r="O127" s="98"/>
      <c r="P127" s="98"/>
      <c r="Q127" s="98"/>
      <c r="R127" s="98"/>
      <c r="S127" s="104"/>
      <c r="T127" s="105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</row>
    <row r="128" spans="1:59" s="360" customFormat="1" ht="12.75">
      <c r="A128" s="357"/>
      <c r="B128" s="358"/>
      <c r="C128" s="104"/>
      <c r="D128" s="104"/>
      <c r="E128" s="359"/>
      <c r="G128" s="105"/>
      <c r="H128" s="119"/>
      <c r="I128" s="119"/>
      <c r="J128" s="119"/>
      <c r="K128" s="119"/>
      <c r="L128" s="98"/>
      <c r="M128" s="98"/>
      <c r="N128" s="98"/>
      <c r="O128" s="98"/>
      <c r="P128" s="98"/>
      <c r="Q128" s="98"/>
      <c r="R128" s="98"/>
      <c r="S128" s="104"/>
      <c r="T128" s="105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</row>
    <row r="129" spans="1:59" s="360" customFormat="1" ht="12.75">
      <c r="A129" s="357"/>
      <c r="B129" s="358"/>
      <c r="C129" s="104"/>
      <c r="D129" s="104"/>
      <c r="E129" s="359"/>
      <c r="G129" s="105"/>
      <c r="H129" s="119"/>
      <c r="I129" s="119"/>
      <c r="J129" s="119"/>
      <c r="K129" s="119"/>
      <c r="L129" s="98"/>
      <c r="M129" s="98"/>
      <c r="N129" s="98"/>
      <c r="O129" s="98"/>
      <c r="P129" s="98"/>
      <c r="Q129" s="98"/>
      <c r="R129" s="98"/>
      <c r="S129" s="104"/>
      <c r="T129" s="105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</row>
    <row r="130" spans="1:59" s="360" customFormat="1" ht="12.75">
      <c r="A130" s="357"/>
      <c r="B130" s="358"/>
      <c r="C130" s="104"/>
      <c r="D130" s="104"/>
      <c r="E130" s="359"/>
      <c r="G130" s="105"/>
      <c r="H130" s="119"/>
      <c r="I130" s="119"/>
      <c r="J130" s="119"/>
      <c r="K130" s="119"/>
      <c r="L130" s="98"/>
      <c r="M130" s="98"/>
      <c r="N130" s="98"/>
      <c r="O130" s="98"/>
      <c r="P130" s="98"/>
      <c r="Q130" s="98"/>
      <c r="R130" s="98"/>
      <c r="S130" s="104"/>
      <c r="T130" s="105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</row>
    <row r="131" spans="1:59" s="360" customFormat="1" ht="12.75">
      <c r="A131" s="357"/>
      <c r="B131" s="358"/>
      <c r="C131" s="104"/>
      <c r="D131" s="104"/>
      <c r="E131" s="359"/>
      <c r="G131" s="105"/>
      <c r="H131" s="119"/>
      <c r="I131" s="119"/>
      <c r="J131" s="119"/>
      <c r="K131" s="119"/>
      <c r="L131" s="98"/>
      <c r="M131" s="98"/>
      <c r="N131" s="98"/>
      <c r="O131" s="98"/>
      <c r="P131" s="98"/>
      <c r="Q131" s="98"/>
      <c r="R131" s="98"/>
      <c r="S131" s="104"/>
      <c r="T131" s="105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</row>
  </sheetData>
  <mergeCells count="1">
    <mergeCell ref="C3:D3"/>
  </mergeCells>
  <printOptions/>
  <pageMargins left="0.4724409448818898" right="0.31496062992125984" top="0.6692913385826772" bottom="0.9448818897637796" header="0.4724409448818898" footer="0.4724409448818898"/>
  <pageSetup fitToHeight="99" horizontalDpi="600" verticalDpi="600" orientation="portrait" paperSize="9" scale="80" r:id="rId1"/>
  <headerFooter alignWithMargins="0">
    <oddFooter>&amp;L&amp;F
&amp;A&amp;C&amp;P/&amp;N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T93"/>
  <sheetViews>
    <sheetView showGridLines="0" view="pageBreakPreview" zoomScaleSheetLayoutView="100" workbookViewId="0" topLeftCell="A1">
      <selection activeCell="G6" sqref="G6"/>
    </sheetView>
  </sheetViews>
  <sheetFormatPr defaultColWidth="9.140625" defaultRowHeight="12.75"/>
  <cols>
    <col min="1" max="1" width="6.8515625" style="357" customWidth="1"/>
    <col min="2" max="2" width="15.140625" style="358" customWidth="1"/>
    <col min="3" max="3" width="47.8515625" style="104" customWidth="1"/>
    <col min="4" max="4" width="10.28125" style="104" customWidth="1"/>
    <col min="5" max="5" width="10.8515625" style="361" customWidth="1"/>
    <col min="6" max="6" width="11.421875" style="360" customWidth="1"/>
    <col min="7" max="7" width="18.140625" style="105" customWidth="1"/>
    <col min="8" max="14" width="9.140625" style="104" customWidth="1"/>
    <col min="15" max="15" width="9.28125" style="104" bestFit="1" customWidth="1"/>
    <col min="16" max="16" width="11.00390625" style="104" bestFit="1" customWidth="1"/>
    <col min="17" max="20" width="9.28125" style="104" bestFit="1" customWidth="1"/>
    <col min="21" max="16384" width="9.140625" style="104" customWidth="1"/>
  </cols>
  <sheetData>
    <row r="1" spans="1:7" s="39" customFormat="1" ht="57" customHeight="1">
      <c r="A1" s="387" t="s">
        <v>0</v>
      </c>
      <c r="B1" s="388"/>
      <c r="C1" s="389" t="s">
        <v>84</v>
      </c>
      <c r="D1" s="390"/>
      <c r="E1" s="390"/>
      <c r="F1" s="391"/>
      <c r="G1" s="392" t="s">
        <v>1</v>
      </c>
    </row>
    <row r="2" spans="1:7" s="88" customFormat="1" ht="29.25" customHeight="1">
      <c r="A2" s="394" t="s">
        <v>2</v>
      </c>
      <c r="B2" s="395"/>
      <c r="C2" s="520" t="s">
        <v>103</v>
      </c>
      <c r="D2" s="102"/>
      <c r="E2" s="396"/>
      <c r="F2" s="397"/>
      <c r="G2" s="398" t="s">
        <v>3</v>
      </c>
    </row>
    <row r="3" spans="1:7" s="405" customFormat="1" ht="70.5" customHeight="1">
      <c r="A3" s="394" t="s">
        <v>4</v>
      </c>
      <c r="B3" s="395"/>
      <c r="C3" s="657" t="s">
        <v>178</v>
      </c>
      <c r="D3" s="658"/>
      <c r="E3" s="400"/>
      <c r="F3" s="401"/>
      <c r="G3" s="1" t="s">
        <v>237</v>
      </c>
    </row>
    <row r="4" spans="1:7" s="286" customFormat="1" ht="24" customHeight="1">
      <c r="A4" s="518"/>
      <c r="B4" s="107" t="s">
        <v>610</v>
      </c>
      <c r="C4" s="108" t="s">
        <v>232</v>
      </c>
      <c r="D4" s="109"/>
      <c r="E4" s="407"/>
      <c r="F4" s="110"/>
      <c r="G4" s="111"/>
    </row>
    <row r="5" spans="1:7" ht="5.25" customHeight="1" thickBot="1">
      <c r="A5" s="113"/>
      <c r="B5" s="114"/>
      <c r="C5" s="115"/>
      <c r="D5" s="115"/>
      <c r="E5" s="116"/>
      <c r="F5" s="117"/>
      <c r="G5" s="118"/>
    </row>
    <row r="6" spans="1:7" s="128" customFormat="1" ht="51.75" customHeight="1" thickBot="1">
      <c r="A6" s="120" t="s">
        <v>5</v>
      </c>
      <c r="B6" s="121"/>
      <c r="C6" s="122" t="s">
        <v>6</v>
      </c>
      <c r="D6" s="123" t="s">
        <v>7</v>
      </c>
      <c r="E6" s="124" t="s">
        <v>8</v>
      </c>
      <c r="F6" s="125" t="s">
        <v>9</v>
      </c>
      <c r="G6" s="126" t="s">
        <v>10</v>
      </c>
    </row>
    <row r="7" spans="1:7" s="139" customFormat="1" ht="24" customHeight="1" thickTop="1">
      <c r="A7" s="130"/>
      <c r="B7" s="131"/>
      <c r="C7" s="132" t="s">
        <v>11</v>
      </c>
      <c r="D7" s="133"/>
      <c r="E7" s="134"/>
      <c r="F7" s="135"/>
      <c r="G7" s="136"/>
    </row>
    <row r="8" spans="1:7" s="139" customFormat="1" ht="12" customHeight="1">
      <c r="A8" s="130"/>
      <c r="B8" s="131"/>
      <c r="C8" s="229"/>
      <c r="D8" s="133"/>
      <c r="E8" s="134"/>
      <c r="F8" s="135"/>
      <c r="G8" s="136"/>
    </row>
    <row r="9" spans="1:7" s="9" customFormat="1" ht="6" customHeight="1">
      <c r="A9" s="2"/>
      <c r="B9" s="3"/>
      <c r="C9" s="4"/>
      <c r="D9" s="5"/>
      <c r="E9" s="5"/>
      <c r="F9" s="5"/>
      <c r="G9" s="6"/>
    </row>
    <row r="10" spans="1:7" s="128" customFormat="1" ht="10.5" customHeight="1">
      <c r="A10" s="141"/>
      <c r="B10" s="142"/>
      <c r="C10" s="11"/>
      <c r="D10" s="143"/>
      <c r="E10" s="144"/>
      <c r="F10" s="145"/>
      <c r="G10" s="146"/>
    </row>
    <row r="11" spans="1:7" s="99" customFormat="1" ht="18" customHeight="1">
      <c r="A11" s="147"/>
      <c r="B11" s="148"/>
      <c r="C11" s="149" t="s">
        <v>12</v>
      </c>
      <c r="D11" s="150"/>
      <c r="E11" s="151"/>
      <c r="F11" s="152"/>
      <c r="G11" s="153"/>
    </row>
    <row r="12" spans="1:7" s="161" customFormat="1" ht="10.5" customHeight="1">
      <c r="A12" s="147"/>
      <c r="B12" s="154"/>
      <c r="C12" s="155"/>
      <c r="D12" s="156"/>
      <c r="E12" s="157"/>
      <c r="F12" s="158"/>
      <c r="G12" s="159"/>
    </row>
    <row r="13" spans="1:7" s="9" customFormat="1" ht="6" customHeight="1">
      <c r="A13" s="2"/>
      <c r="B13" s="3"/>
      <c r="C13" s="4"/>
      <c r="D13" s="5"/>
      <c r="E13" s="5"/>
      <c r="F13" s="5"/>
      <c r="G13" s="6"/>
    </row>
    <row r="14" spans="1:7" s="161" customFormat="1" ht="18" customHeight="1">
      <c r="A14" s="147"/>
      <c r="B14" s="154"/>
      <c r="C14" s="155"/>
      <c r="D14" s="156"/>
      <c r="E14" s="157"/>
      <c r="F14" s="158"/>
      <c r="G14" s="159"/>
    </row>
    <row r="15" spans="1:7" s="171" customFormat="1" ht="18" customHeight="1">
      <c r="A15" s="163" t="str">
        <f>A19</f>
        <v>1</v>
      </c>
      <c r="B15" s="164" t="s">
        <v>13</v>
      </c>
      <c r="C15" s="166" t="str">
        <f>C19</f>
        <v>Mobiliář</v>
      </c>
      <c r="D15" s="167"/>
      <c r="E15" s="168"/>
      <c r="F15" s="169"/>
      <c r="G15" s="165">
        <f>G28</f>
        <v>0</v>
      </c>
    </row>
    <row r="16" spans="1:7" s="99" customFormat="1" ht="18" customHeight="1" thickBot="1">
      <c r="A16" s="180"/>
      <c r="B16" s="181"/>
      <c r="C16" s="182"/>
      <c r="D16" s="182"/>
      <c r="E16" s="183"/>
      <c r="F16" s="184"/>
      <c r="G16" s="185"/>
    </row>
    <row r="17" spans="1:7" s="194" customFormat="1" ht="23.25" customHeight="1" thickBot="1">
      <c r="A17" s="186"/>
      <c r="B17" s="187"/>
      <c r="C17" s="188" t="s">
        <v>14</v>
      </c>
      <c r="D17" s="188"/>
      <c r="E17" s="189"/>
      <c r="F17" s="190"/>
      <c r="G17" s="191">
        <f>SUM(G15:G16)</f>
        <v>0</v>
      </c>
    </row>
    <row r="18" spans="1:7" ht="13.5" customHeight="1" thickBot="1">
      <c r="A18" s="196"/>
      <c r="B18" s="197"/>
      <c r="C18" s="198"/>
      <c r="D18" s="198"/>
      <c r="E18" s="199"/>
      <c r="F18" s="200"/>
      <c r="G18" s="201"/>
    </row>
    <row r="19" spans="1:7" s="210" customFormat="1" ht="16.5" customHeight="1" thickBot="1">
      <c r="A19" s="202" t="s">
        <v>15</v>
      </c>
      <c r="B19" s="203" t="s">
        <v>16</v>
      </c>
      <c r="C19" s="204" t="s">
        <v>232</v>
      </c>
      <c r="D19" s="205"/>
      <c r="E19" s="206"/>
      <c r="F19" s="207"/>
      <c r="G19" s="208"/>
    </row>
    <row r="20" spans="1:7" s="256" customFormat="1" ht="12.75">
      <c r="A20" s="248"/>
      <c r="B20" s="249"/>
      <c r="C20" s="250"/>
      <c r="D20" s="251"/>
      <c r="E20" s="215"/>
      <c r="F20" s="252"/>
      <c r="G20" s="253"/>
    </row>
    <row r="21" spans="1:7" s="21" customFormat="1" ht="81" customHeight="1">
      <c r="A21" s="12" t="s">
        <v>136</v>
      </c>
      <c r="B21" s="13"/>
      <c r="C21" s="14" t="s">
        <v>383</v>
      </c>
      <c r="D21" s="333" t="s">
        <v>20</v>
      </c>
      <c r="E21" s="16">
        <v>3</v>
      </c>
      <c r="F21" s="17"/>
      <c r="G21" s="18">
        <f>$E21*F21</f>
        <v>0</v>
      </c>
    </row>
    <row r="22" spans="1:7" s="262" customFormat="1" ht="29.25" customHeight="1">
      <c r="A22" s="363" t="s">
        <v>137</v>
      </c>
      <c r="B22" s="227"/>
      <c r="C22" s="259" t="s">
        <v>384</v>
      </c>
      <c r="D22" s="333" t="s">
        <v>20</v>
      </c>
      <c r="E22" s="228">
        <v>4</v>
      </c>
      <c r="F22" s="228"/>
      <c r="G22" s="18">
        <f>$E22*F22</f>
        <v>0</v>
      </c>
    </row>
    <row r="23" spans="1:7" s="31" customFormat="1" ht="10.5" customHeight="1">
      <c r="A23" s="23"/>
      <c r="B23" s="24"/>
      <c r="C23" s="25"/>
      <c r="D23" s="26"/>
      <c r="E23" s="27"/>
      <c r="F23" s="27"/>
      <c r="G23" s="28"/>
    </row>
    <row r="24" spans="1:7" s="543" customFormat="1" ht="21" customHeight="1">
      <c r="A24" s="363" t="s">
        <v>138</v>
      </c>
      <c r="B24" s="43"/>
      <c r="C24" s="44" t="s">
        <v>385</v>
      </c>
      <c r="D24" s="333" t="s">
        <v>20</v>
      </c>
      <c r="E24" s="46">
        <v>1</v>
      </c>
      <c r="F24" s="46"/>
      <c r="G24" s="18">
        <f aca="true" t="shared" si="0" ref="G24:G26">$E24*F24</f>
        <v>0</v>
      </c>
    </row>
    <row r="25" spans="1:7" s="543" customFormat="1" ht="35.25" customHeight="1">
      <c r="A25" s="363" t="s">
        <v>139</v>
      </c>
      <c r="B25" s="43"/>
      <c r="C25" s="44" t="s">
        <v>386</v>
      </c>
      <c r="D25" s="333" t="s">
        <v>20</v>
      </c>
      <c r="E25" s="46">
        <v>3</v>
      </c>
      <c r="F25" s="46"/>
      <c r="G25" s="18">
        <f t="shared" si="0"/>
        <v>0</v>
      </c>
    </row>
    <row r="26" spans="1:7" s="543" customFormat="1" ht="41.25" customHeight="1">
      <c r="A26" s="363" t="s">
        <v>140</v>
      </c>
      <c r="B26" s="43"/>
      <c r="C26" s="44" t="s">
        <v>387</v>
      </c>
      <c r="D26" s="333" t="s">
        <v>20</v>
      </c>
      <c r="E26" s="46">
        <f>E24</f>
        <v>1</v>
      </c>
      <c r="F26" s="46"/>
      <c r="G26" s="18">
        <f t="shared" si="0"/>
        <v>0</v>
      </c>
    </row>
    <row r="27" spans="1:7" s="50" customFormat="1" ht="11.25" customHeight="1" thickBot="1">
      <c r="A27" s="52"/>
      <c r="B27" s="53"/>
      <c r="C27" s="266"/>
      <c r="D27" s="54"/>
      <c r="E27" s="55"/>
      <c r="F27" s="56"/>
      <c r="G27" s="57"/>
    </row>
    <row r="28" spans="1:7" s="99" customFormat="1" ht="16.5" customHeight="1" thickBot="1">
      <c r="A28" s="237"/>
      <c r="B28" s="238"/>
      <c r="C28" s="239" t="s">
        <v>24</v>
      </c>
      <c r="D28" s="240"/>
      <c r="E28" s="241"/>
      <c r="F28" s="242"/>
      <c r="G28" s="243">
        <f>SUBTOTAL(9,G20:G27)</f>
        <v>0</v>
      </c>
    </row>
    <row r="29" spans="1:7" s="99" customFormat="1" ht="13.5" customHeight="1" thickBot="1">
      <c r="A29" s="244"/>
      <c r="B29" s="245"/>
      <c r="C29" s="246"/>
      <c r="D29" s="246"/>
      <c r="E29" s="247"/>
      <c r="F29" s="200"/>
      <c r="G29" s="201"/>
    </row>
    <row r="30" spans="1:7" s="355" customFormat="1" ht="30.75" customHeight="1" thickBot="1">
      <c r="A30" s="186"/>
      <c r="B30" s="348"/>
      <c r="C30" s="349" t="s">
        <v>53</v>
      </c>
      <c r="D30" s="349"/>
      <c r="E30" s="350"/>
      <c r="F30" s="351"/>
      <c r="G30" s="352">
        <f>SUBTOTAL(9,G19:G29)</f>
        <v>0</v>
      </c>
    </row>
    <row r="31" ht="12.75">
      <c r="E31" s="359"/>
    </row>
    <row r="32" ht="12.75">
      <c r="E32" s="359"/>
    </row>
    <row r="33" ht="12.75">
      <c r="E33" s="359"/>
    </row>
    <row r="34" ht="12.75">
      <c r="E34" s="359"/>
    </row>
    <row r="35" ht="12.75">
      <c r="E35" s="359"/>
    </row>
    <row r="36" ht="12.75">
      <c r="E36" s="359"/>
    </row>
    <row r="37" ht="12.75">
      <c r="E37" s="359"/>
    </row>
    <row r="38" spans="1:20" s="360" customFormat="1" ht="12.75">
      <c r="A38" s="357"/>
      <c r="B38" s="358"/>
      <c r="C38" s="104"/>
      <c r="D38" s="104"/>
      <c r="E38" s="359"/>
      <c r="G38" s="105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</row>
    <row r="39" spans="1:20" s="360" customFormat="1" ht="12.75">
      <c r="A39" s="357"/>
      <c r="B39" s="358"/>
      <c r="C39" s="104"/>
      <c r="D39" s="104"/>
      <c r="E39" s="359"/>
      <c r="G39" s="105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</row>
    <row r="40" spans="1:20" s="360" customFormat="1" ht="12.75">
      <c r="A40" s="357"/>
      <c r="B40" s="358"/>
      <c r="C40" s="104"/>
      <c r="D40" s="104"/>
      <c r="E40" s="359"/>
      <c r="G40" s="105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</row>
    <row r="41" spans="1:20" s="360" customFormat="1" ht="12.75">
      <c r="A41" s="357"/>
      <c r="B41" s="358"/>
      <c r="C41" s="104"/>
      <c r="D41" s="104"/>
      <c r="E41" s="359"/>
      <c r="G41" s="105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</row>
    <row r="42" spans="1:20" s="360" customFormat="1" ht="12.75">
      <c r="A42" s="357"/>
      <c r="B42" s="358"/>
      <c r="C42" s="104"/>
      <c r="D42" s="104"/>
      <c r="E42" s="359"/>
      <c r="G42" s="105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</row>
    <row r="43" spans="1:20" s="360" customFormat="1" ht="12.75">
      <c r="A43" s="357"/>
      <c r="B43" s="358"/>
      <c r="C43" s="104"/>
      <c r="D43" s="104"/>
      <c r="E43" s="359"/>
      <c r="G43" s="105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</row>
    <row r="44" spans="1:20" s="360" customFormat="1" ht="12.75">
      <c r="A44" s="357"/>
      <c r="B44" s="358"/>
      <c r="C44" s="104"/>
      <c r="D44" s="104"/>
      <c r="E44" s="359"/>
      <c r="G44" s="105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</row>
    <row r="45" spans="1:20" s="360" customFormat="1" ht="12.75">
      <c r="A45" s="357"/>
      <c r="B45" s="358"/>
      <c r="C45" s="104"/>
      <c r="D45" s="104"/>
      <c r="E45" s="359"/>
      <c r="G45" s="105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</row>
    <row r="46" spans="1:20" s="360" customFormat="1" ht="12.75">
      <c r="A46" s="357"/>
      <c r="B46" s="358"/>
      <c r="C46" s="104"/>
      <c r="D46" s="104"/>
      <c r="E46" s="359"/>
      <c r="G46" s="105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</row>
    <row r="47" spans="1:20" s="360" customFormat="1" ht="12.75">
      <c r="A47" s="357"/>
      <c r="B47" s="358"/>
      <c r="C47" s="104"/>
      <c r="D47" s="104"/>
      <c r="E47" s="359"/>
      <c r="G47" s="105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</row>
    <row r="48" spans="1:20" s="360" customFormat="1" ht="12.75">
      <c r="A48" s="357"/>
      <c r="B48" s="358"/>
      <c r="C48" s="104"/>
      <c r="D48" s="104"/>
      <c r="E48" s="359"/>
      <c r="G48" s="105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</row>
    <row r="49" spans="1:20" s="360" customFormat="1" ht="12.75">
      <c r="A49" s="357"/>
      <c r="B49" s="358"/>
      <c r="C49" s="104"/>
      <c r="D49" s="104"/>
      <c r="E49" s="359"/>
      <c r="G49" s="105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</row>
    <row r="50" spans="1:20" s="360" customFormat="1" ht="12.75">
      <c r="A50" s="357"/>
      <c r="B50" s="358"/>
      <c r="C50" s="104"/>
      <c r="D50" s="104"/>
      <c r="E50" s="359"/>
      <c r="G50" s="105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</row>
    <row r="51" spans="1:20" s="360" customFormat="1" ht="12.75">
      <c r="A51" s="357"/>
      <c r="B51" s="358"/>
      <c r="C51" s="104"/>
      <c r="D51" s="104"/>
      <c r="E51" s="359"/>
      <c r="G51" s="105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</row>
    <row r="52" spans="1:20" s="360" customFormat="1" ht="12.75">
      <c r="A52" s="357"/>
      <c r="B52" s="358"/>
      <c r="C52" s="104"/>
      <c r="D52" s="104"/>
      <c r="E52" s="359"/>
      <c r="G52" s="105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</row>
    <row r="53" spans="1:20" s="360" customFormat="1" ht="12.75">
      <c r="A53" s="357"/>
      <c r="B53" s="358"/>
      <c r="C53" s="104"/>
      <c r="D53" s="104"/>
      <c r="E53" s="359"/>
      <c r="G53" s="105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</row>
    <row r="54" spans="1:20" s="360" customFormat="1" ht="12.75">
      <c r="A54" s="357"/>
      <c r="B54" s="358"/>
      <c r="C54" s="104"/>
      <c r="D54" s="104"/>
      <c r="E54" s="359"/>
      <c r="G54" s="105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</row>
    <row r="55" spans="1:20" s="360" customFormat="1" ht="12.75">
      <c r="A55" s="357"/>
      <c r="B55" s="358"/>
      <c r="C55" s="104"/>
      <c r="D55" s="104"/>
      <c r="E55" s="359"/>
      <c r="G55" s="105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</row>
    <row r="56" spans="1:20" s="360" customFormat="1" ht="12.75">
      <c r="A56" s="357"/>
      <c r="B56" s="358"/>
      <c r="C56" s="104"/>
      <c r="D56" s="104"/>
      <c r="E56" s="359"/>
      <c r="G56" s="105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</row>
    <row r="57" spans="1:20" s="360" customFormat="1" ht="12.75">
      <c r="A57" s="357"/>
      <c r="B57" s="358"/>
      <c r="C57" s="104"/>
      <c r="D57" s="104"/>
      <c r="E57" s="359"/>
      <c r="G57" s="105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</row>
    <row r="58" spans="1:20" s="360" customFormat="1" ht="12.75">
      <c r="A58" s="357"/>
      <c r="B58" s="358"/>
      <c r="C58" s="104"/>
      <c r="D58" s="104"/>
      <c r="E58" s="359"/>
      <c r="G58" s="105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</row>
    <row r="59" spans="1:20" s="360" customFormat="1" ht="12.75">
      <c r="A59" s="357"/>
      <c r="B59" s="358"/>
      <c r="C59" s="104"/>
      <c r="D59" s="104"/>
      <c r="E59" s="359"/>
      <c r="G59" s="105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</row>
    <row r="60" spans="1:20" s="360" customFormat="1" ht="12.75">
      <c r="A60" s="357"/>
      <c r="B60" s="358"/>
      <c r="C60" s="104"/>
      <c r="D60" s="104"/>
      <c r="E60" s="359"/>
      <c r="G60" s="105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</row>
    <row r="61" spans="1:20" s="360" customFormat="1" ht="12.75">
      <c r="A61" s="357"/>
      <c r="B61" s="358"/>
      <c r="C61" s="104"/>
      <c r="D61" s="104"/>
      <c r="E61" s="359"/>
      <c r="G61" s="105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</row>
    <row r="62" spans="1:20" s="360" customFormat="1" ht="12.75">
      <c r="A62" s="357"/>
      <c r="B62" s="358"/>
      <c r="C62" s="104"/>
      <c r="D62" s="104"/>
      <c r="E62" s="359"/>
      <c r="G62" s="105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</row>
    <row r="63" spans="1:20" s="360" customFormat="1" ht="12.75">
      <c r="A63" s="357"/>
      <c r="B63" s="358"/>
      <c r="C63" s="104"/>
      <c r="D63" s="104"/>
      <c r="E63" s="359"/>
      <c r="G63" s="105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</row>
    <row r="64" spans="1:20" s="360" customFormat="1" ht="12.75">
      <c r="A64" s="357"/>
      <c r="B64" s="358"/>
      <c r="C64" s="104"/>
      <c r="D64" s="104"/>
      <c r="E64" s="359"/>
      <c r="G64" s="105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</row>
    <row r="65" spans="1:20" s="360" customFormat="1" ht="12.75">
      <c r="A65" s="357"/>
      <c r="B65" s="358"/>
      <c r="C65" s="104"/>
      <c r="D65" s="104"/>
      <c r="E65" s="359"/>
      <c r="G65" s="105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</row>
    <row r="66" spans="1:20" s="360" customFormat="1" ht="12.75">
      <c r="A66" s="357"/>
      <c r="B66" s="358"/>
      <c r="C66" s="104"/>
      <c r="D66" s="104"/>
      <c r="E66" s="359"/>
      <c r="G66" s="105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</row>
    <row r="67" spans="1:20" s="360" customFormat="1" ht="12.75">
      <c r="A67" s="357"/>
      <c r="B67" s="358"/>
      <c r="C67" s="104"/>
      <c r="D67" s="104"/>
      <c r="E67" s="359"/>
      <c r="G67" s="105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</row>
    <row r="68" spans="1:20" s="360" customFormat="1" ht="12.75">
      <c r="A68" s="357"/>
      <c r="B68" s="358"/>
      <c r="C68" s="104"/>
      <c r="D68" s="104"/>
      <c r="E68" s="359"/>
      <c r="G68" s="105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</row>
    <row r="69" spans="1:20" s="360" customFormat="1" ht="12.75">
      <c r="A69" s="357"/>
      <c r="B69" s="358"/>
      <c r="C69" s="104"/>
      <c r="D69" s="104"/>
      <c r="E69" s="359"/>
      <c r="G69" s="105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</row>
    <row r="70" spans="1:20" s="360" customFormat="1" ht="12.75">
      <c r="A70" s="357"/>
      <c r="B70" s="358"/>
      <c r="C70" s="104"/>
      <c r="D70" s="104"/>
      <c r="E70" s="359"/>
      <c r="G70" s="105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</row>
    <row r="71" spans="1:20" s="360" customFormat="1" ht="12.75">
      <c r="A71" s="357"/>
      <c r="B71" s="358"/>
      <c r="C71" s="104"/>
      <c r="D71" s="104"/>
      <c r="E71" s="359"/>
      <c r="G71" s="105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</row>
    <row r="72" spans="1:20" s="360" customFormat="1" ht="12.75">
      <c r="A72" s="357"/>
      <c r="B72" s="358"/>
      <c r="C72" s="104"/>
      <c r="D72" s="104"/>
      <c r="E72" s="359"/>
      <c r="G72" s="105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</row>
    <row r="73" spans="1:20" s="360" customFormat="1" ht="12.75">
      <c r="A73" s="357"/>
      <c r="B73" s="358"/>
      <c r="C73" s="104"/>
      <c r="D73" s="104"/>
      <c r="E73" s="359"/>
      <c r="G73" s="105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</row>
    <row r="74" spans="1:20" s="360" customFormat="1" ht="12.75">
      <c r="A74" s="357"/>
      <c r="B74" s="358"/>
      <c r="C74" s="104"/>
      <c r="D74" s="104"/>
      <c r="E74" s="359"/>
      <c r="G74" s="105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</row>
    <row r="75" spans="1:20" s="360" customFormat="1" ht="12.75">
      <c r="A75" s="357"/>
      <c r="B75" s="358"/>
      <c r="C75" s="104"/>
      <c r="D75" s="104"/>
      <c r="E75" s="359"/>
      <c r="G75" s="105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</row>
    <row r="76" spans="1:20" s="360" customFormat="1" ht="12.75">
      <c r="A76" s="357"/>
      <c r="B76" s="358"/>
      <c r="C76" s="104"/>
      <c r="D76" s="104"/>
      <c r="E76" s="359"/>
      <c r="G76" s="105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</row>
    <row r="77" spans="1:20" s="360" customFormat="1" ht="12.75">
      <c r="A77" s="357"/>
      <c r="B77" s="358"/>
      <c r="C77" s="104"/>
      <c r="D77" s="104"/>
      <c r="E77" s="359"/>
      <c r="G77" s="105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</row>
    <row r="78" spans="1:20" s="360" customFormat="1" ht="12.75">
      <c r="A78" s="357"/>
      <c r="B78" s="358"/>
      <c r="C78" s="104"/>
      <c r="D78" s="104"/>
      <c r="E78" s="359"/>
      <c r="G78" s="105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</row>
    <row r="79" spans="1:20" s="360" customFormat="1" ht="12.75">
      <c r="A79" s="357"/>
      <c r="B79" s="358"/>
      <c r="C79" s="104"/>
      <c r="D79" s="104"/>
      <c r="E79" s="359"/>
      <c r="G79" s="105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</row>
    <row r="80" spans="1:20" s="360" customFormat="1" ht="12.75">
      <c r="A80" s="357"/>
      <c r="B80" s="358"/>
      <c r="C80" s="104"/>
      <c r="D80" s="104"/>
      <c r="E80" s="359"/>
      <c r="G80" s="105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</row>
    <row r="81" spans="1:20" s="360" customFormat="1" ht="12.75">
      <c r="A81" s="357"/>
      <c r="B81" s="358"/>
      <c r="C81" s="104"/>
      <c r="D81" s="104"/>
      <c r="E81" s="359"/>
      <c r="G81" s="105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</row>
    <row r="82" spans="1:20" s="360" customFormat="1" ht="12.75">
      <c r="A82" s="357"/>
      <c r="B82" s="358"/>
      <c r="C82" s="104"/>
      <c r="D82" s="104"/>
      <c r="E82" s="359"/>
      <c r="G82" s="105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</row>
    <row r="83" spans="1:20" s="360" customFormat="1" ht="12.75">
      <c r="A83" s="357"/>
      <c r="B83" s="358"/>
      <c r="C83" s="104"/>
      <c r="D83" s="104"/>
      <c r="E83" s="359"/>
      <c r="G83" s="10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</row>
    <row r="84" spans="1:20" s="360" customFormat="1" ht="12.75">
      <c r="A84" s="357"/>
      <c r="B84" s="358"/>
      <c r="C84" s="104"/>
      <c r="D84" s="104"/>
      <c r="E84" s="359"/>
      <c r="G84" s="105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</row>
    <row r="85" spans="1:20" s="360" customFormat="1" ht="12.75">
      <c r="A85" s="357"/>
      <c r="B85" s="358"/>
      <c r="C85" s="104"/>
      <c r="D85" s="104"/>
      <c r="E85" s="359"/>
      <c r="G85" s="10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</row>
    <row r="86" spans="1:20" s="360" customFormat="1" ht="12.75">
      <c r="A86" s="357"/>
      <c r="B86" s="358"/>
      <c r="C86" s="104"/>
      <c r="D86" s="104"/>
      <c r="E86" s="359"/>
      <c r="G86" s="105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</row>
    <row r="87" spans="1:20" s="360" customFormat="1" ht="12.75">
      <c r="A87" s="357"/>
      <c r="B87" s="358"/>
      <c r="C87" s="104"/>
      <c r="D87" s="104"/>
      <c r="E87" s="359"/>
      <c r="G87" s="105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</row>
    <row r="88" spans="1:20" s="360" customFormat="1" ht="12.75">
      <c r="A88" s="357"/>
      <c r="B88" s="358"/>
      <c r="C88" s="104"/>
      <c r="D88" s="104"/>
      <c r="E88" s="359"/>
      <c r="G88" s="105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</row>
    <row r="89" spans="1:20" s="360" customFormat="1" ht="12.75">
      <c r="A89" s="357"/>
      <c r="B89" s="358"/>
      <c r="C89" s="104"/>
      <c r="D89" s="104"/>
      <c r="E89" s="359"/>
      <c r="G89" s="105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</row>
    <row r="90" spans="1:20" s="360" customFormat="1" ht="12.75">
      <c r="A90" s="357"/>
      <c r="B90" s="358"/>
      <c r="C90" s="104"/>
      <c r="D90" s="104"/>
      <c r="E90" s="359"/>
      <c r="G90" s="105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</row>
    <row r="91" spans="1:20" s="360" customFormat="1" ht="12.75">
      <c r="A91" s="357"/>
      <c r="B91" s="358"/>
      <c r="C91" s="104"/>
      <c r="D91" s="104"/>
      <c r="E91" s="359"/>
      <c r="G91" s="105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</row>
    <row r="92" spans="1:20" s="360" customFormat="1" ht="12.75">
      <c r="A92" s="357"/>
      <c r="B92" s="358"/>
      <c r="C92" s="104"/>
      <c r="D92" s="104"/>
      <c r="E92" s="359"/>
      <c r="G92" s="105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</row>
    <row r="93" spans="1:20" s="360" customFormat="1" ht="12.75">
      <c r="A93" s="357"/>
      <c r="B93" s="358"/>
      <c r="C93" s="104"/>
      <c r="D93" s="104"/>
      <c r="E93" s="359"/>
      <c r="G93" s="105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</row>
  </sheetData>
  <mergeCells count="1">
    <mergeCell ref="C3:D3"/>
  </mergeCells>
  <printOptions/>
  <pageMargins left="0.4724409448818898" right="0.31496062992125984" top="0.6692913385826772" bottom="0.9448818897637796" header="0.4724409448818898" footer="0.4724409448818898"/>
  <pageSetup fitToHeight="99" horizontalDpi="600" verticalDpi="600" orientation="portrait" paperSize="9" scale="80" r:id="rId1"/>
  <headerFooter alignWithMargins="0">
    <oddFooter>&amp;L&amp;F
&amp;A&amp;C&amp;P/&amp;N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BG88"/>
  <sheetViews>
    <sheetView showGridLines="0" view="pageBreakPreview" zoomScaleSheetLayoutView="100" workbookViewId="0" topLeftCell="A1">
      <selection activeCell="G6" sqref="G6"/>
    </sheetView>
  </sheetViews>
  <sheetFormatPr defaultColWidth="9.140625" defaultRowHeight="12.75"/>
  <cols>
    <col min="1" max="1" width="6.8515625" style="357" customWidth="1"/>
    <col min="2" max="2" width="15.140625" style="358" customWidth="1"/>
    <col min="3" max="3" width="47.8515625" style="104" customWidth="1"/>
    <col min="4" max="4" width="10.28125" style="104" customWidth="1"/>
    <col min="5" max="5" width="10.8515625" style="361" customWidth="1"/>
    <col min="6" max="6" width="11.421875" style="360" customWidth="1"/>
    <col min="7" max="7" width="18.140625" style="105" customWidth="1"/>
    <col min="8" max="8" width="14.421875" style="119" customWidth="1"/>
    <col min="9" max="9" width="14.57421875" style="119" customWidth="1"/>
    <col min="10" max="10" width="10.00390625" style="119" customWidth="1"/>
    <col min="11" max="11" width="17.28125" style="119" customWidth="1"/>
    <col min="12" max="12" width="11.7109375" style="98" bestFit="1" customWidth="1"/>
    <col min="13" max="13" width="12.8515625" style="98" bestFit="1" customWidth="1"/>
    <col min="14" max="14" width="11.28125" style="98" bestFit="1" customWidth="1"/>
    <col min="15" max="16" width="9.140625" style="98" customWidth="1"/>
    <col min="17" max="17" width="11.28125" style="98" bestFit="1" customWidth="1"/>
    <col min="18" max="18" width="9.140625" style="98" customWidth="1"/>
    <col min="19" max="19" width="9.140625" style="104" customWidth="1"/>
    <col min="20" max="20" width="10.140625" style="105" bestFit="1" customWidth="1"/>
    <col min="21" max="26" width="9.140625" style="104" customWidth="1"/>
    <col min="27" max="29" width="9.28125" style="104" bestFit="1" customWidth="1"/>
    <col min="30" max="53" width="9.140625" style="104" customWidth="1"/>
    <col min="54" max="54" width="9.28125" style="104" bestFit="1" customWidth="1"/>
    <col min="55" max="55" width="11.00390625" style="104" bestFit="1" customWidth="1"/>
    <col min="56" max="59" width="9.28125" style="104" bestFit="1" customWidth="1"/>
    <col min="60" max="16384" width="9.140625" style="104" customWidth="1"/>
  </cols>
  <sheetData>
    <row r="1" spans="1:20" s="39" customFormat="1" ht="57" customHeight="1">
      <c r="A1" s="387" t="s">
        <v>0</v>
      </c>
      <c r="B1" s="388"/>
      <c r="C1" s="389" t="s">
        <v>84</v>
      </c>
      <c r="D1" s="390"/>
      <c r="E1" s="390"/>
      <c r="F1" s="391"/>
      <c r="G1" s="392" t="s">
        <v>1</v>
      </c>
      <c r="H1" s="393"/>
      <c r="I1" s="393"/>
      <c r="J1" s="393"/>
      <c r="K1" s="393"/>
      <c r="L1" s="38"/>
      <c r="M1" s="38"/>
      <c r="N1" s="38"/>
      <c r="O1" s="38"/>
      <c r="P1" s="38"/>
      <c r="Q1" s="38"/>
      <c r="R1" s="38"/>
      <c r="T1" s="40"/>
    </row>
    <row r="2" spans="1:20" s="88" customFormat="1" ht="29.25" customHeight="1">
      <c r="A2" s="394" t="s">
        <v>2</v>
      </c>
      <c r="B2" s="395"/>
      <c r="C2" s="520" t="s">
        <v>103</v>
      </c>
      <c r="D2" s="102"/>
      <c r="E2" s="396"/>
      <c r="F2" s="397"/>
      <c r="G2" s="398" t="s">
        <v>3</v>
      </c>
      <c r="H2" s="393"/>
      <c r="I2" s="393"/>
      <c r="J2" s="393"/>
      <c r="K2" s="393"/>
      <c r="L2" s="38"/>
      <c r="M2" s="38"/>
      <c r="N2" s="38"/>
      <c r="O2" s="38"/>
      <c r="P2" s="38"/>
      <c r="Q2" s="38"/>
      <c r="R2" s="38"/>
      <c r="T2" s="399"/>
    </row>
    <row r="3" spans="1:20" s="405" customFormat="1" ht="70.5" customHeight="1">
      <c r="A3" s="394" t="s">
        <v>4</v>
      </c>
      <c r="B3" s="395"/>
      <c r="C3" s="657" t="s">
        <v>178</v>
      </c>
      <c r="D3" s="658"/>
      <c r="E3" s="400"/>
      <c r="F3" s="401"/>
      <c r="G3" s="1" t="s">
        <v>237</v>
      </c>
      <c r="H3" s="402"/>
      <c r="I3" s="403"/>
      <c r="J3" s="402"/>
      <c r="K3" s="402"/>
      <c r="L3" s="404"/>
      <c r="M3" s="404"/>
      <c r="N3" s="404"/>
      <c r="O3" s="404"/>
      <c r="P3" s="404"/>
      <c r="Q3" s="404"/>
      <c r="R3" s="404"/>
      <c r="T3" s="406"/>
    </row>
    <row r="4" spans="1:20" s="286" customFormat="1" ht="24" customHeight="1">
      <c r="A4" s="518"/>
      <c r="B4" s="107" t="s">
        <v>622</v>
      </c>
      <c r="C4" s="108" t="s">
        <v>623</v>
      </c>
      <c r="D4" s="109"/>
      <c r="E4" s="407"/>
      <c r="F4" s="110"/>
      <c r="G4" s="111"/>
      <c r="H4" s="283"/>
      <c r="I4" s="283"/>
      <c r="J4" s="283"/>
      <c r="K4" s="283"/>
      <c r="L4" s="255"/>
      <c r="M4" s="255"/>
      <c r="N4" s="255"/>
      <c r="O4" s="255"/>
      <c r="P4" s="255"/>
      <c r="Q4" s="255"/>
      <c r="R4" s="255"/>
      <c r="T4" s="408"/>
    </row>
    <row r="5" spans="1:7" ht="5.25" customHeight="1" thickBot="1">
      <c r="A5" s="113"/>
      <c r="B5" s="114"/>
      <c r="C5" s="115"/>
      <c r="D5" s="115"/>
      <c r="E5" s="116"/>
      <c r="F5" s="117"/>
      <c r="G5" s="118"/>
    </row>
    <row r="6" spans="1:20" s="128" customFormat="1" ht="51.75" customHeight="1" thickBot="1">
      <c r="A6" s="120" t="s">
        <v>5</v>
      </c>
      <c r="B6" s="121"/>
      <c r="C6" s="122" t="s">
        <v>6</v>
      </c>
      <c r="D6" s="123" t="s">
        <v>7</v>
      </c>
      <c r="E6" s="124" t="s">
        <v>8</v>
      </c>
      <c r="F6" s="125" t="s">
        <v>9</v>
      </c>
      <c r="G6" s="126" t="s">
        <v>10</v>
      </c>
      <c r="H6" s="119"/>
      <c r="I6" s="119"/>
      <c r="J6" s="119"/>
      <c r="K6" s="119"/>
      <c r="L6" s="127"/>
      <c r="M6" s="127"/>
      <c r="N6" s="127"/>
      <c r="O6" s="127"/>
      <c r="P6" s="127"/>
      <c r="Q6" s="127"/>
      <c r="R6" s="127"/>
      <c r="T6" s="129"/>
    </row>
    <row r="7" spans="1:20" s="139" customFormat="1" ht="24" customHeight="1" thickTop="1">
      <c r="A7" s="130"/>
      <c r="B7" s="131"/>
      <c r="C7" s="132" t="s">
        <v>11</v>
      </c>
      <c r="D7" s="133"/>
      <c r="E7" s="134"/>
      <c r="F7" s="135"/>
      <c r="G7" s="136"/>
      <c r="H7" s="137"/>
      <c r="I7" s="137"/>
      <c r="J7" s="137"/>
      <c r="K7" s="137"/>
      <c r="L7" s="138"/>
      <c r="M7" s="138"/>
      <c r="N7" s="138"/>
      <c r="O7" s="138"/>
      <c r="P7" s="138"/>
      <c r="Q7" s="138"/>
      <c r="R7" s="138"/>
      <c r="T7" s="140"/>
    </row>
    <row r="8" spans="1:7" s="139" customFormat="1" ht="12" customHeight="1">
      <c r="A8" s="130"/>
      <c r="B8" s="131"/>
      <c r="C8" s="229"/>
      <c r="D8" s="133"/>
      <c r="E8" s="134"/>
      <c r="F8" s="135"/>
      <c r="G8" s="136"/>
    </row>
    <row r="9" spans="1:20" s="9" customFormat="1" ht="6" customHeight="1">
      <c r="A9" s="2"/>
      <c r="B9" s="3"/>
      <c r="C9" s="4"/>
      <c r="D9" s="5"/>
      <c r="E9" s="5"/>
      <c r="F9" s="5"/>
      <c r="G9" s="6"/>
      <c r="H9" s="7"/>
      <c r="I9" s="7"/>
      <c r="J9" s="7"/>
      <c r="K9" s="7"/>
      <c r="L9" s="8"/>
      <c r="M9" s="8"/>
      <c r="N9" s="8"/>
      <c r="O9" s="8"/>
      <c r="P9" s="8"/>
      <c r="Q9" s="8"/>
      <c r="R9" s="8"/>
      <c r="T9" s="10"/>
    </row>
    <row r="10" spans="1:20" s="128" customFormat="1" ht="10.5" customHeight="1">
      <c r="A10" s="141"/>
      <c r="B10" s="142"/>
      <c r="C10" s="11"/>
      <c r="D10" s="143"/>
      <c r="E10" s="144"/>
      <c r="F10" s="145"/>
      <c r="G10" s="146"/>
      <c r="H10" s="119"/>
      <c r="I10" s="119"/>
      <c r="J10" s="119"/>
      <c r="K10" s="119"/>
      <c r="L10" s="127"/>
      <c r="M10" s="127"/>
      <c r="N10" s="127"/>
      <c r="O10" s="127"/>
      <c r="P10" s="127"/>
      <c r="Q10" s="127"/>
      <c r="R10" s="127"/>
      <c r="T10" s="129"/>
    </row>
    <row r="11" spans="1:20" s="99" customFormat="1" ht="18" customHeight="1">
      <c r="A11" s="147"/>
      <c r="B11" s="148"/>
      <c r="C11" s="149" t="s">
        <v>12</v>
      </c>
      <c r="D11" s="150"/>
      <c r="E11" s="151"/>
      <c r="F11" s="152"/>
      <c r="G11" s="153"/>
      <c r="H11" s="119"/>
      <c r="I11" s="119"/>
      <c r="J11" s="119"/>
      <c r="K11" s="119"/>
      <c r="L11" s="98"/>
      <c r="M11" s="98"/>
      <c r="N11" s="98"/>
      <c r="O11" s="98"/>
      <c r="P11" s="98"/>
      <c r="Q11" s="98"/>
      <c r="R11" s="98"/>
      <c r="T11" s="100"/>
    </row>
    <row r="12" spans="1:20" s="161" customFormat="1" ht="10.5" customHeight="1">
      <c r="A12" s="147"/>
      <c r="B12" s="154"/>
      <c r="C12" s="155"/>
      <c r="D12" s="156"/>
      <c r="E12" s="157"/>
      <c r="F12" s="158"/>
      <c r="G12" s="159"/>
      <c r="H12" s="119"/>
      <c r="I12" s="119"/>
      <c r="J12" s="119"/>
      <c r="K12" s="119"/>
      <c r="L12" s="160"/>
      <c r="M12" s="160"/>
      <c r="N12" s="160"/>
      <c r="O12" s="160"/>
      <c r="P12" s="160"/>
      <c r="Q12" s="160"/>
      <c r="R12" s="160"/>
      <c r="T12" s="162"/>
    </row>
    <row r="13" spans="1:20" s="9" customFormat="1" ht="6" customHeight="1">
      <c r="A13" s="2"/>
      <c r="B13" s="3"/>
      <c r="C13" s="4"/>
      <c r="D13" s="5"/>
      <c r="E13" s="5"/>
      <c r="F13" s="5"/>
      <c r="G13" s="6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T13" s="10"/>
    </row>
    <row r="14" spans="1:20" s="161" customFormat="1" ht="18" customHeight="1">
      <c r="A14" s="147"/>
      <c r="B14" s="154"/>
      <c r="C14" s="155"/>
      <c r="D14" s="156"/>
      <c r="E14" s="157"/>
      <c r="F14" s="158"/>
      <c r="G14" s="159"/>
      <c r="H14" s="119"/>
      <c r="I14" s="119"/>
      <c r="J14" s="119"/>
      <c r="K14" s="119"/>
      <c r="L14" s="160"/>
      <c r="M14" s="160"/>
      <c r="N14" s="160"/>
      <c r="O14" s="160"/>
      <c r="P14" s="160"/>
      <c r="Q14" s="160"/>
      <c r="R14" s="160"/>
      <c r="T14" s="162"/>
    </row>
    <row r="15" spans="1:20" s="171" customFormat="1" ht="18" customHeight="1">
      <c r="A15" s="163" t="str">
        <f>A19</f>
        <v>1</v>
      </c>
      <c r="B15" s="164" t="s">
        <v>13</v>
      </c>
      <c r="C15" s="166" t="str">
        <f>C19</f>
        <v>Přeložka distribuční sítě elektro NN</v>
      </c>
      <c r="D15" s="167"/>
      <c r="E15" s="168"/>
      <c r="F15" s="169"/>
      <c r="G15" s="165">
        <f>G23</f>
        <v>0</v>
      </c>
      <c r="H15" s="137"/>
      <c r="I15" s="137"/>
      <c r="J15" s="137"/>
      <c r="K15" s="137"/>
      <c r="L15" s="170"/>
      <c r="M15" s="170"/>
      <c r="N15" s="170"/>
      <c r="O15" s="170"/>
      <c r="P15" s="170"/>
      <c r="Q15" s="170"/>
      <c r="R15" s="170"/>
      <c r="T15" s="172"/>
    </row>
    <row r="16" spans="1:20" s="99" customFormat="1" ht="18" customHeight="1" thickBot="1">
      <c r="A16" s="180"/>
      <c r="B16" s="181"/>
      <c r="C16" s="182"/>
      <c r="D16" s="182"/>
      <c r="E16" s="183"/>
      <c r="F16" s="184"/>
      <c r="G16" s="185"/>
      <c r="H16" s="119"/>
      <c r="I16" s="119"/>
      <c r="J16" s="119"/>
      <c r="K16" s="119"/>
      <c r="L16" s="98"/>
      <c r="M16" s="98"/>
      <c r="N16" s="98"/>
      <c r="O16" s="98"/>
      <c r="P16" s="98"/>
      <c r="Q16" s="98"/>
      <c r="R16" s="98"/>
      <c r="T16" s="100"/>
    </row>
    <row r="17" spans="1:20" s="194" customFormat="1" ht="23.25" customHeight="1" thickBot="1">
      <c r="A17" s="186"/>
      <c r="B17" s="187"/>
      <c r="C17" s="188" t="s">
        <v>14</v>
      </c>
      <c r="D17" s="188"/>
      <c r="E17" s="189"/>
      <c r="F17" s="190"/>
      <c r="G17" s="191">
        <f>SUM(G15:G16)</f>
        <v>0</v>
      </c>
      <c r="H17" s="192"/>
      <c r="I17" s="192"/>
      <c r="J17" s="192"/>
      <c r="K17" s="192"/>
      <c r="L17" s="193"/>
      <c r="M17" s="193"/>
      <c r="N17" s="193"/>
      <c r="O17" s="193"/>
      <c r="P17" s="193"/>
      <c r="Q17" s="193"/>
      <c r="R17" s="193"/>
      <c r="T17" s="195"/>
    </row>
    <row r="18" spans="1:7" ht="13.5" customHeight="1" thickBot="1">
      <c r="A18" s="196"/>
      <c r="B18" s="197"/>
      <c r="C18" s="198"/>
      <c r="D18" s="198"/>
      <c r="E18" s="199"/>
      <c r="F18" s="200"/>
      <c r="G18" s="201"/>
    </row>
    <row r="19" spans="1:20" s="210" customFormat="1" ht="16.5" customHeight="1" thickBot="1">
      <c r="A19" s="202" t="s">
        <v>15</v>
      </c>
      <c r="B19" s="203" t="s">
        <v>16</v>
      </c>
      <c r="C19" s="204" t="s">
        <v>623</v>
      </c>
      <c r="D19" s="205"/>
      <c r="E19" s="206"/>
      <c r="F19" s="207"/>
      <c r="G19" s="208"/>
      <c r="H19" s="192"/>
      <c r="I19" s="192"/>
      <c r="J19" s="192"/>
      <c r="K19" s="192"/>
      <c r="L19" s="209"/>
      <c r="M19" s="209"/>
      <c r="N19" s="209"/>
      <c r="O19" s="209"/>
      <c r="P19" s="209"/>
      <c r="Q19" s="209"/>
      <c r="R19" s="209"/>
      <c r="T19" s="211"/>
    </row>
    <row r="20" spans="1:20" s="256" customFormat="1" ht="12.75">
      <c r="A20" s="248"/>
      <c r="B20" s="249"/>
      <c r="C20" s="250"/>
      <c r="D20" s="251"/>
      <c r="E20" s="215"/>
      <c r="F20" s="252"/>
      <c r="G20" s="253"/>
      <c r="H20" s="254"/>
      <c r="I20" s="137"/>
      <c r="J20" s="137"/>
      <c r="K20" s="137"/>
      <c r="L20" s="255"/>
      <c r="M20" s="255"/>
      <c r="N20" s="255"/>
      <c r="O20" s="255"/>
      <c r="P20" s="255"/>
      <c r="Q20" s="255"/>
      <c r="R20" s="255"/>
      <c r="T20" s="257"/>
    </row>
    <row r="21" spans="1:17" s="21" customFormat="1" ht="81" customHeight="1">
      <c r="A21" s="12" t="s">
        <v>136</v>
      </c>
      <c r="B21" s="13"/>
      <c r="C21" s="14" t="s">
        <v>624</v>
      </c>
      <c r="D21" s="333" t="s">
        <v>228</v>
      </c>
      <c r="E21" s="16">
        <v>1</v>
      </c>
      <c r="F21" s="17"/>
      <c r="G21" s="18">
        <f>$E21*F21</f>
        <v>0</v>
      </c>
      <c r="H21" s="533"/>
      <c r="I21" s="533"/>
      <c r="J21" s="533"/>
      <c r="K21" s="533"/>
      <c r="L21" s="534"/>
      <c r="M21" s="534"/>
      <c r="Q21" s="535"/>
    </row>
    <row r="22" spans="1:20" s="50" customFormat="1" ht="11.25" customHeight="1" thickBot="1">
      <c r="A22" s="52"/>
      <c r="B22" s="53"/>
      <c r="C22" s="266"/>
      <c r="D22" s="54"/>
      <c r="E22" s="55"/>
      <c r="F22" s="56"/>
      <c r="G22" s="57"/>
      <c r="H22" s="48"/>
      <c r="I22" s="48"/>
      <c r="J22" s="48"/>
      <c r="K22" s="48"/>
      <c r="L22" s="49"/>
      <c r="M22" s="49"/>
      <c r="N22" s="267"/>
      <c r="O22" s="267"/>
      <c r="P22" s="268"/>
      <c r="Q22" s="269"/>
      <c r="R22" s="49"/>
      <c r="T22" s="51"/>
    </row>
    <row r="23" spans="1:20" s="99" customFormat="1" ht="16.5" customHeight="1" thickBot="1">
      <c r="A23" s="237"/>
      <c r="B23" s="238"/>
      <c r="C23" s="239" t="s">
        <v>24</v>
      </c>
      <c r="D23" s="240"/>
      <c r="E23" s="241"/>
      <c r="F23" s="242"/>
      <c r="G23" s="243">
        <f>SUBTOTAL(9,G20:G22)</f>
        <v>0</v>
      </c>
      <c r="H23" s="119"/>
      <c r="I23" s="192"/>
      <c r="J23" s="119"/>
      <c r="K23" s="119"/>
      <c r="L23" s="98"/>
      <c r="M23" s="98"/>
      <c r="N23" s="98"/>
      <c r="O23" s="98"/>
      <c r="P23" s="98"/>
      <c r="Q23" s="98"/>
      <c r="R23" s="98"/>
      <c r="T23" s="100"/>
    </row>
    <row r="24" spans="1:20" s="99" customFormat="1" ht="13.5" customHeight="1" thickBot="1">
      <c r="A24" s="244"/>
      <c r="B24" s="245"/>
      <c r="C24" s="246"/>
      <c r="D24" s="246"/>
      <c r="E24" s="247"/>
      <c r="F24" s="200"/>
      <c r="G24" s="201"/>
      <c r="H24" s="119"/>
      <c r="I24" s="119"/>
      <c r="J24" s="119"/>
      <c r="K24" s="119"/>
      <c r="L24" s="98"/>
      <c r="M24" s="98"/>
      <c r="N24" s="98"/>
      <c r="O24" s="98"/>
      <c r="P24" s="98"/>
      <c r="Q24" s="98"/>
      <c r="R24" s="98"/>
      <c r="T24" s="100"/>
    </row>
    <row r="25" spans="1:20" s="355" customFormat="1" ht="30.75" customHeight="1" thickBot="1">
      <c r="A25" s="186"/>
      <c r="B25" s="348"/>
      <c r="C25" s="349" t="s">
        <v>53</v>
      </c>
      <c r="D25" s="349"/>
      <c r="E25" s="350"/>
      <c r="F25" s="351"/>
      <c r="G25" s="352">
        <f>SUBTOTAL(9,G19:G24)</f>
        <v>0</v>
      </c>
      <c r="H25" s="353"/>
      <c r="I25" s="353"/>
      <c r="J25" s="353"/>
      <c r="K25" s="353"/>
      <c r="L25" s="354"/>
      <c r="M25" s="354"/>
      <c r="N25" s="354"/>
      <c r="O25" s="354"/>
      <c r="P25" s="354"/>
      <c r="Q25" s="354"/>
      <c r="R25" s="354"/>
      <c r="T25" s="356"/>
    </row>
    <row r="26" ht="12.75">
      <c r="E26" s="359"/>
    </row>
    <row r="27" ht="12.75">
      <c r="E27" s="359"/>
    </row>
    <row r="28" ht="12.75">
      <c r="E28" s="359"/>
    </row>
    <row r="29" ht="12.75">
      <c r="E29" s="359"/>
    </row>
    <row r="30" ht="12.75">
      <c r="E30" s="359"/>
    </row>
    <row r="31" ht="12.75">
      <c r="E31" s="359"/>
    </row>
    <row r="32" ht="12.75">
      <c r="E32" s="359"/>
    </row>
    <row r="33" spans="1:59" s="360" customFormat="1" ht="12.75">
      <c r="A33" s="357"/>
      <c r="B33" s="358"/>
      <c r="C33" s="104"/>
      <c r="D33" s="104"/>
      <c r="E33" s="359"/>
      <c r="G33" s="105"/>
      <c r="H33" s="119"/>
      <c r="I33" s="119"/>
      <c r="J33" s="119"/>
      <c r="K33" s="119"/>
      <c r="L33" s="98"/>
      <c r="M33" s="98"/>
      <c r="N33" s="98"/>
      <c r="O33" s="98"/>
      <c r="P33" s="98"/>
      <c r="Q33" s="98"/>
      <c r="R33" s="98"/>
      <c r="S33" s="104"/>
      <c r="T33" s="105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</row>
    <row r="34" spans="1:59" s="360" customFormat="1" ht="12.75">
      <c r="A34" s="357"/>
      <c r="B34" s="358"/>
      <c r="C34" s="104"/>
      <c r="D34" s="104"/>
      <c r="E34" s="359"/>
      <c r="G34" s="105"/>
      <c r="H34" s="119"/>
      <c r="I34" s="119"/>
      <c r="J34" s="119"/>
      <c r="K34" s="119"/>
      <c r="L34" s="98"/>
      <c r="M34" s="98"/>
      <c r="N34" s="98"/>
      <c r="O34" s="98"/>
      <c r="P34" s="98"/>
      <c r="Q34" s="98"/>
      <c r="R34" s="98"/>
      <c r="S34" s="104"/>
      <c r="T34" s="105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</row>
    <row r="35" spans="1:59" s="360" customFormat="1" ht="12.75">
      <c r="A35" s="357"/>
      <c r="B35" s="358"/>
      <c r="C35" s="104"/>
      <c r="D35" s="104"/>
      <c r="E35" s="359"/>
      <c r="G35" s="105"/>
      <c r="H35" s="119"/>
      <c r="I35" s="119"/>
      <c r="J35" s="119"/>
      <c r="K35" s="119"/>
      <c r="L35" s="98"/>
      <c r="M35" s="98"/>
      <c r="N35" s="98"/>
      <c r="O35" s="98"/>
      <c r="P35" s="98"/>
      <c r="Q35" s="98"/>
      <c r="R35" s="98"/>
      <c r="S35" s="104"/>
      <c r="T35" s="105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</row>
    <row r="36" spans="1:59" s="360" customFormat="1" ht="12.75">
      <c r="A36" s="357"/>
      <c r="B36" s="358"/>
      <c r="C36" s="104"/>
      <c r="D36" s="104"/>
      <c r="E36" s="359"/>
      <c r="G36" s="105"/>
      <c r="H36" s="119"/>
      <c r="I36" s="119"/>
      <c r="J36" s="119"/>
      <c r="K36" s="119"/>
      <c r="L36" s="98"/>
      <c r="M36" s="98"/>
      <c r="N36" s="98"/>
      <c r="O36" s="98"/>
      <c r="P36" s="98"/>
      <c r="Q36" s="98"/>
      <c r="R36" s="98"/>
      <c r="S36" s="104"/>
      <c r="T36" s="105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</row>
    <row r="37" spans="1:59" s="360" customFormat="1" ht="12.75">
      <c r="A37" s="357"/>
      <c r="B37" s="358"/>
      <c r="C37" s="104"/>
      <c r="D37" s="104"/>
      <c r="E37" s="359"/>
      <c r="G37" s="105"/>
      <c r="H37" s="119"/>
      <c r="I37" s="119"/>
      <c r="J37" s="119"/>
      <c r="K37" s="119"/>
      <c r="L37" s="98"/>
      <c r="M37" s="98"/>
      <c r="N37" s="98"/>
      <c r="O37" s="98"/>
      <c r="P37" s="98"/>
      <c r="Q37" s="98"/>
      <c r="R37" s="98"/>
      <c r="S37" s="104"/>
      <c r="T37" s="105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</row>
    <row r="38" spans="1:59" s="360" customFormat="1" ht="12.75">
      <c r="A38" s="357"/>
      <c r="B38" s="358"/>
      <c r="C38" s="104"/>
      <c r="D38" s="104"/>
      <c r="E38" s="359"/>
      <c r="G38" s="105"/>
      <c r="H38" s="119"/>
      <c r="I38" s="119"/>
      <c r="J38" s="119"/>
      <c r="K38" s="119"/>
      <c r="L38" s="98"/>
      <c r="M38" s="98"/>
      <c r="N38" s="98"/>
      <c r="O38" s="98"/>
      <c r="P38" s="98"/>
      <c r="Q38" s="98"/>
      <c r="R38" s="98"/>
      <c r="S38" s="104"/>
      <c r="T38" s="105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</row>
    <row r="39" spans="1:59" s="360" customFormat="1" ht="12.75">
      <c r="A39" s="357"/>
      <c r="B39" s="358"/>
      <c r="C39" s="104"/>
      <c r="D39" s="104"/>
      <c r="E39" s="359"/>
      <c r="G39" s="105"/>
      <c r="H39" s="119"/>
      <c r="I39" s="119"/>
      <c r="J39" s="119"/>
      <c r="K39" s="119"/>
      <c r="L39" s="98"/>
      <c r="M39" s="98"/>
      <c r="N39" s="98"/>
      <c r="O39" s="98"/>
      <c r="P39" s="98"/>
      <c r="Q39" s="98"/>
      <c r="R39" s="98"/>
      <c r="S39" s="104"/>
      <c r="T39" s="105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</row>
    <row r="40" spans="1:59" s="360" customFormat="1" ht="12.75">
      <c r="A40" s="357"/>
      <c r="B40" s="358"/>
      <c r="C40" s="104"/>
      <c r="D40" s="104"/>
      <c r="E40" s="359"/>
      <c r="G40" s="105"/>
      <c r="H40" s="119"/>
      <c r="I40" s="119"/>
      <c r="J40" s="119"/>
      <c r="K40" s="119"/>
      <c r="L40" s="98"/>
      <c r="M40" s="98"/>
      <c r="N40" s="98"/>
      <c r="O40" s="98"/>
      <c r="P40" s="98"/>
      <c r="Q40" s="98"/>
      <c r="R40" s="98"/>
      <c r="S40" s="104"/>
      <c r="T40" s="105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</row>
    <row r="41" spans="1:59" s="360" customFormat="1" ht="12.75">
      <c r="A41" s="357"/>
      <c r="B41" s="358"/>
      <c r="C41" s="104"/>
      <c r="D41" s="104"/>
      <c r="E41" s="359"/>
      <c r="G41" s="105"/>
      <c r="H41" s="119"/>
      <c r="I41" s="119"/>
      <c r="J41" s="119"/>
      <c r="K41" s="119"/>
      <c r="L41" s="98"/>
      <c r="M41" s="98"/>
      <c r="N41" s="98"/>
      <c r="O41" s="98"/>
      <c r="P41" s="98"/>
      <c r="Q41" s="98"/>
      <c r="R41" s="98"/>
      <c r="S41" s="104"/>
      <c r="T41" s="105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</row>
    <row r="42" spans="1:59" s="360" customFormat="1" ht="12.75">
      <c r="A42" s="357"/>
      <c r="B42" s="358"/>
      <c r="C42" s="104"/>
      <c r="D42" s="104"/>
      <c r="E42" s="359"/>
      <c r="G42" s="105"/>
      <c r="H42" s="119"/>
      <c r="I42" s="119"/>
      <c r="J42" s="119"/>
      <c r="K42" s="119"/>
      <c r="L42" s="98"/>
      <c r="M42" s="98"/>
      <c r="N42" s="98"/>
      <c r="O42" s="98"/>
      <c r="P42" s="98"/>
      <c r="Q42" s="98"/>
      <c r="R42" s="98"/>
      <c r="S42" s="104"/>
      <c r="T42" s="105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</row>
    <row r="43" spans="1:59" s="360" customFormat="1" ht="12.75">
      <c r="A43" s="357"/>
      <c r="B43" s="358"/>
      <c r="C43" s="104"/>
      <c r="D43" s="104"/>
      <c r="E43" s="359"/>
      <c r="G43" s="105"/>
      <c r="H43" s="119"/>
      <c r="I43" s="119"/>
      <c r="J43" s="119"/>
      <c r="K43" s="119"/>
      <c r="L43" s="98"/>
      <c r="M43" s="98"/>
      <c r="N43" s="98"/>
      <c r="O43" s="98"/>
      <c r="P43" s="98"/>
      <c r="Q43" s="98"/>
      <c r="R43" s="98"/>
      <c r="S43" s="104"/>
      <c r="T43" s="105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</row>
    <row r="44" spans="1:59" s="360" customFormat="1" ht="12.75">
      <c r="A44" s="357"/>
      <c r="B44" s="358"/>
      <c r="C44" s="104"/>
      <c r="D44" s="104"/>
      <c r="E44" s="359"/>
      <c r="G44" s="105"/>
      <c r="H44" s="119"/>
      <c r="I44" s="119"/>
      <c r="J44" s="119"/>
      <c r="K44" s="119"/>
      <c r="L44" s="98"/>
      <c r="M44" s="98"/>
      <c r="N44" s="98"/>
      <c r="O44" s="98"/>
      <c r="P44" s="98"/>
      <c r="Q44" s="98"/>
      <c r="R44" s="98"/>
      <c r="S44" s="104"/>
      <c r="T44" s="105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</row>
    <row r="45" spans="1:59" s="360" customFormat="1" ht="12.75">
      <c r="A45" s="357"/>
      <c r="B45" s="358"/>
      <c r="C45" s="104"/>
      <c r="D45" s="104"/>
      <c r="E45" s="359"/>
      <c r="G45" s="105"/>
      <c r="H45" s="119"/>
      <c r="I45" s="119"/>
      <c r="J45" s="119"/>
      <c r="K45" s="119"/>
      <c r="L45" s="98"/>
      <c r="M45" s="98"/>
      <c r="N45" s="98"/>
      <c r="O45" s="98"/>
      <c r="P45" s="98"/>
      <c r="Q45" s="98"/>
      <c r="R45" s="98"/>
      <c r="S45" s="104"/>
      <c r="T45" s="105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</row>
    <row r="46" spans="1:59" s="360" customFormat="1" ht="12.75">
      <c r="A46" s="357"/>
      <c r="B46" s="358"/>
      <c r="C46" s="104"/>
      <c r="D46" s="104"/>
      <c r="E46" s="359"/>
      <c r="G46" s="105"/>
      <c r="H46" s="119"/>
      <c r="I46" s="119"/>
      <c r="J46" s="119"/>
      <c r="K46" s="119"/>
      <c r="L46" s="98"/>
      <c r="M46" s="98"/>
      <c r="N46" s="98"/>
      <c r="O46" s="98"/>
      <c r="P46" s="98"/>
      <c r="Q46" s="98"/>
      <c r="R46" s="98"/>
      <c r="S46" s="104"/>
      <c r="T46" s="105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</row>
    <row r="47" spans="1:59" s="360" customFormat="1" ht="12.75">
      <c r="A47" s="357"/>
      <c r="B47" s="358"/>
      <c r="C47" s="104"/>
      <c r="D47" s="104"/>
      <c r="E47" s="359"/>
      <c r="G47" s="105"/>
      <c r="H47" s="119"/>
      <c r="I47" s="119"/>
      <c r="J47" s="119"/>
      <c r="K47" s="119"/>
      <c r="L47" s="98"/>
      <c r="M47" s="98"/>
      <c r="N47" s="98"/>
      <c r="O47" s="98"/>
      <c r="P47" s="98"/>
      <c r="Q47" s="98"/>
      <c r="R47" s="98"/>
      <c r="S47" s="104"/>
      <c r="T47" s="105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</row>
    <row r="48" spans="1:59" s="360" customFormat="1" ht="12.75">
      <c r="A48" s="357"/>
      <c r="B48" s="358"/>
      <c r="C48" s="104"/>
      <c r="D48" s="104"/>
      <c r="E48" s="359"/>
      <c r="G48" s="105"/>
      <c r="H48" s="119"/>
      <c r="I48" s="119"/>
      <c r="J48" s="119"/>
      <c r="K48" s="119"/>
      <c r="L48" s="98"/>
      <c r="M48" s="98"/>
      <c r="N48" s="98"/>
      <c r="O48" s="98"/>
      <c r="P48" s="98"/>
      <c r="Q48" s="98"/>
      <c r="R48" s="98"/>
      <c r="S48" s="104"/>
      <c r="T48" s="105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</row>
    <row r="49" spans="1:59" s="360" customFormat="1" ht="12.75">
      <c r="A49" s="357"/>
      <c r="B49" s="358"/>
      <c r="C49" s="104"/>
      <c r="D49" s="104"/>
      <c r="E49" s="359"/>
      <c r="G49" s="105"/>
      <c r="H49" s="119"/>
      <c r="I49" s="119"/>
      <c r="J49" s="119"/>
      <c r="K49" s="119"/>
      <c r="L49" s="98"/>
      <c r="M49" s="98"/>
      <c r="N49" s="98"/>
      <c r="O49" s="98"/>
      <c r="P49" s="98"/>
      <c r="Q49" s="98"/>
      <c r="R49" s="98"/>
      <c r="S49" s="104"/>
      <c r="T49" s="105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</row>
    <row r="50" spans="1:59" s="360" customFormat="1" ht="12.75">
      <c r="A50" s="357"/>
      <c r="B50" s="358"/>
      <c r="C50" s="104"/>
      <c r="D50" s="104"/>
      <c r="E50" s="359"/>
      <c r="G50" s="105"/>
      <c r="H50" s="119"/>
      <c r="I50" s="119"/>
      <c r="J50" s="119"/>
      <c r="K50" s="119"/>
      <c r="L50" s="98"/>
      <c r="M50" s="98"/>
      <c r="N50" s="98"/>
      <c r="O50" s="98"/>
      <c r="P50" s="98"/>
      <c r="Q50" s="98"/>
      <c r="R50" s="98"/>
      <c r="S50" s="104"/>
      <c r="T50" s="105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</row>
    <row r="51" spans="1:59" s="360" customFormat="1" ht="12.75">
      <c r="A51" s="357"/>
      <c r="B51" s="358"/>
      <c r="C51" s="104"/>
      <c r="D51" s="104"/>
      <c r="E51" s="359"/>
      <c r="G51" s="105"/>
      <c r="H51" s="119"/>
      <c r="I51" s="119"/>
      <c r="J51" s="119"/>
      <c r="K51" s="119"/>
      <c r="L51" s="98"/>
      <c r="M51" s="98"/>
      <c r="N51" s="98"/>
      <c r="O51" s="98"/>
      <c r="P51" s="98"/>
      <c r="Q51" s="98"/>
      <c r="R51" s="98"/>
      <c r="S51" s="104"/>
      <c r="T51" s="105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</row>
    <row r="52" spans="1:59" s="360" customFormat="1" ht="12.75">
      <c r="A52" s="357"/>
      <c r="B52" s="358"/>
      <c r="C52" s="104"/>
      <c r="D52" s="104"/>
      <c r="E52" s="359"/>
      <c r="G52" s="105"/>
      <c r="H52" s="119"/>
      <c r="I52" s="119"/>
      <c r="J52" s="119"/>
      <c r="K52" s="119"/>
      <c r="L52" s="98"/>
      <c r="M52" s="98"/>
      <c r="N52" s="98"/>
      <c r="O52" s="98"/>
      <c r="P52" s="98"/>
      <c r="Q52" s="98"/>
      <c r="R52" s="98"/>
      <c r="S52" s="104"/>
      <c r="T52" s="105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</row>
    <row r="53" spans="1:59" s="360" customFormat="1" ht="12.75">
      <c r="A53" s="357"/>
      <c r="B53" s="358"/>
      <c r="C53" s="104"/>
      <c r="D53" s="104"/>
      <c r="E53" s="359"/>
      <c r="G53" s="105"/>
      <c r="H53" s="119"/>
      <c r="I53" s="119"/>
      <c r="J53" s="119"/>
      <c r="K53" s="119"/>
      <c r="L53" s="98"/>
      <c r="M53" s="98"/>
      <c r="N53" s="98"/>
      <c r="O53" s="98"/>
      <c r="P53" s="98"/>
      <c r="Q53" s="98"/>
      <c r="R53" s="98"/>
      <c r="S53" s="104"/>
      <c r="T53" s="105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</row>
    <row r="54" spans="1:59" s="360" customFormat="1" ht="12.75">
      <c r="A54" s="357"/>
      <c r="B54" s="358"/>
      <c r="C54" s="104"/>
      <c r="D54" s="104"/>
      <c r="E54" s="359"/>
      <c r="G54" s="105"/>
      <c r="H54" s="119"/>
      <c r="I54" s="119"/>
      <c r="J54" s="119"/>
      <c r="K54" s="119"/>
      <c r="L54" s="98"/>
      <c r="M54" s="98"/>
      <c r="N54" s="98"/>
      <c r="O54" s="98"/>
      <c r="P54" s="98"/>
      <c r="Q54" s="98"/>
      <c r="R54" s="98"/>
      <c r="S54" s="104"/>
      <c r="T54" s="105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</row>
    <row r="55" spans="1:59" s="360" customFormat="1" ht="12.75">
      <c r="A55" s="357"/>
      <c r="B55" s="358"/>
      <c r="C55" s="104"/>
      <c r="D55" s="104"/>
      <c r="E55" s="359"/>
      <c r="G55" s="105"/>
      <c r="H55" s="119"/>
      <c r="I55" s="119"/>
      <c r="J55" s="119"/>
      <c r="K55" s="119"/>
      <c r="L55" s="98"/>
      <c r="M55" s="98"/>
      <c r="N55" s="98"/>
      <c r="O55" s="98"/>
      <c r="P55" s="98"/>
      <c r="Q55" s="98"/>
      <c r="R55" s="98"/>
      <c r="S55" s="104"/>
      <c r="T55" s="105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</row>
    <row r="56" spans="1:59" s="360" customFormat="1" ht="12.75">
      <c r="A56" s="357"/>
      <c r="B56" s="358"/>
      <c r="C56" s="104"/>
      <c r="D56" s="104"/>
      <c r="E56" s="359"/>
      <c r="G56" s="105"/>
      <c r="H56" s="119"/>
      <c r="I56" s="119"/>
      <c r="J56" s="119"/>
      <c r="K56" s="119"/>
      <c r="L56" s="98"/>
      <c r="M56" s="98"/>
      <c r="N56" s="98"/>
      <c r="O56" s="98"/>
      <c r="P56" s="98"/>
      <c r="Q56" s="98"/>
      <c r="R56" s="98"/>
      <c r="S56" s="104"/>
      <c r="T56" s="105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</row>
    <row r="57" spans="1:59" s="360" customFormat="1" ht="12.75">
      <c r="A57" s="357"/>
      <c r="B57" s="358"/>
      <c r="C57" s="104"/>
      <c r="D57" s="104"/>
      <c r="E57" s="359"/>
      <c r="G57" s="105"/>
      <c r="H57" s="119"/>
      <c r="I57" s="119"/>
      <c r="J57" s="119"/>
      <c r="K57" s="119"/>
      <c r="L57" s="98"/>
      <c r="M57" s="98"/>
      <c r="N57" s="98"/>
      <c r="O57" s="98"/>
      <c r="P57" s="98"/>
      <c r="Q57" s="98"/>
      <c r="R57" s="98"/>
      <c r="S57" s="104"/>
      <c r="T57" s="105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</row>
    <row r="58" spans="1:59" s="360" customFormat="1" ht="12.75">
      <c r="A58" s="357"/>
      <c r="B58" s="358"/>
      <c r="C58" s="104"/>
      <c r="D58" s="104"/>
      <c r="E58" s="359"/>
      <c r="G58" s="105"/>
      <c r="H58" s="119"/>
      <c r="I58" s="119"/>
      <c r="J58" s="119"/>
      <c r="K58" s="119"/>
      <c r="L58" s="98"/>
      <c r="M58" s="98"/>
      <c r="N58" s="98"/>
      <c r="O58" s="98"/>
      <c r="P58" s="98"/>
      <c r="Q58" s="98"/>
      <c r="R58" s="98"/>
      <c r="S58" s="104"/>
      <c r="T58" s="105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</row>
    <row r="59" spans="1:59" s="360" customFormat="1" ht="12.75">
      <c r="A59" s="357"/>
      <c r="B59" s="358"/>
      <c r="C59" s="104"/>
      <c r="D59" s="104"/>
      <c r="E59" s="359"/>
      <c r="G59" s="105"/>
      <c r="H59" s="119"/>
      <c r="I59" s="119"/>
      <c r="J59" s="119"/>
      <c r="K59" s="119"/>
      <c r="L59" s="98"/>
      <c r="M59" s="98"/>
      <c r="N59" s="98"/>
      <c r="O59" s="98"/>
      <c r="P59" s="98"/>
      <c r="Q59" s="98"/>
      <c r="R59" s="98"/>
      <c r="S59" s="104"/>
      <c r="T59" s="105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</row>
    <row r="60" spans="1:59" s="360" customFormat="1" ht="12.75">
      <c r="A60" s="357"/>
      <c r="B60" s="358"/>
      <c r="C60" s="104"/>
      <c r="D60" s="104"/>
      <c r="E60" s="359"/>
      <c r="G60" s="105"/>
      <c r="H60" s="119"/>
      <c r="I60" s="119"/>
      <c r="J60" s="119"/>
      <c r="K60" s="119"/>
      <c r="L60" s="98"/>
      <c r="M60" s="98"/>
      <c r="N60" s="98"/>
      <c r="O60" s="98"/>
      <c r="P60" s="98"/>
      <c r="Q60" s="98"/>
      <c r="R60" s="98"/>
      <c r="S60" s="104"/>
      <c r="T60" s="105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</row>
    <row r="61" spans="1:59" s="360" customFormat="1" ht="12.75">
      <c r="A61" s="357"/>
      <c r="B61" s="358"/>
      <c r="C61" s="104"/>
      <c r="D61" s="104"/>
      <c r="E61" s="359"/>
      <c r="G61" s="105"/>
      <c r="H61" s="119"/>
      <c r="I61" s="119"/>
      <c r="J61" s="119"/>
      <c r="K61" s="119"/>
      <c r="L61" s="98"/>
      <c r="M61" s="98"/>
      <c r="N61" s="98"/>
      <c r="O61" s="98"/>
      <c r="P61" s="98"/>
      <c r="Q61" s="98"/>
      <c r="R61" s="98"/>
      <c r="S61" s="104"/>
      <c r="T61" s="105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</row>
    <row r="62" spans="1:59" s="360" customFormat="1" ht="12.75">
      <c r="A62" s="357"/>
      <c r="B62" s="358"/>
      <c r="C62" s="104"/>
      <c r="D62" s="104"/>
      <c r="E62" s="359"/>
      <c r="G62" s="105"/>
      <c r="H62" s="119"/>
      <c r="I62" s="119"/>
      <c r="J62" s="119"/>
      <c r="K62" s="119"/>
      <c r="L62" s="98"/>
      <c r="M62" s="98"/>
      <c r="N62" s="98"/>
      <c r="O62" s="98"/>
      <c r="P62" s="98"/>
      <c r="Q62" s="98"/>
      <c r="R62" s="98"/>
      <c r="S62" s="104"/>
      <c r="T62" s="105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</row>
    <row r="63" spans="1:59" s="360" customFormat="1" ht="12.75">
      <c r="A63" s="357"/>
      <c r="B63" s="358"/>
      <c r="C63" s="104"/>
      <c r="D63" s="104"/>
      <c r="E63" s="359"/>
      <c r="G63" s="105"/>
      <c r="H63" s="119"/>
      <c r="I63" s="119"/>
      <c r="J63" s="119"/>
      <c r="K63" s="119"/>
      <c r="L63" s="98"/>
      <c r="M63" s="98"/>
      <c r="N63" s="98"/>
      <c r="O63" s="98"/>
      <c r="P63" s="98"/>
      <c r="Q63" s="98"/>
      <c r="R63" s="98"/>
      <c r="S63" s="104"/>
      <c r="T63" s="105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</row>
    <row r="64" spans="1:59" s="360" customFormat="1" ht="12.75">
      <c r="A64" s="357"/>
      <c r="B64" s="358"/>
      <c r="C64" s="104"/>
      <c r="D64" s="104"/>
      <c r="E64" s="359"/>
      <c r="G64" s="105"/>
      <c r="H64" s="119"/>
      <c r="I64" s="119"/>
      <c r="J64" s="119"/>
      <c r="K64" s="119"/>
      <c r="L64" s="98"/>
      <c r="M64" s="98"/>
      <c r="N64" s="98"/>
      <c r="O64" s="98"/>
      <c r="P64" s="98"/>
      <c r="Q64" s="98"/>
      <c r="R64" s="98"/>
      <c r="S64" s="104"/>
      <c r="T64" s="105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</row>
    <row r="65" spans="1:59" s="360" customFormat="1" ht="12.75">
      <c r="A65" s="357"/>
      <c r="B65" s="358"/>
      <c r="C65" s="104"/>
      <c r="D65" s="104"/>
      <c r="E65" s="359"/>
      <c r="G65" s="105"/>
      <c r="H65" s="119"/>
      <c r="I65" s="119"/>
      <c r="J65" s="119"/>
      <c r="K65" s="119"/>
      <c r="L65" s="98"/>
      <c r="M65" s="98"/>
      <c r="N65" s="98"/>
      <c r="O65" s="98"/>
      <c r="P65" s="98"/>
      <c r="Q65" s="98"/>
      <c r="R65" s="98"/>
      <c r="S65" s="104"/>
      <c r="T65" s="105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</row>
    <row r="66" spans="1:59" s="360" customFormat="1" ht="12.75">
      <c r="A66" s="357"/>
      <c r="B66" s="358"/>
      <c r="C66" s="104"/>
      <c r="D66" s="104"/>
      <c r="E66" s="359"/>
      <c r="G66" s="105"/>
      <c r="H66" s="119"/>
      <c r="I66" s="119"/>
      <c r="J66" s="119"/>
      <c r="K66" s="119"/>
      <c r="L66" s="98"/>
      <c r="M66" s="98"/>
      <c r="N66" s="98"/>
      <c r="O66" s="98"/>
      <c r="P66" s="98"/>
      <c r="Q66" s="98"/>
      <c r="R66" s="98"/>
      <c r="S66" s="104"/>
      <c r="T66" s="105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</row>
    <row r="67" spans="1:59" s="360" customFormat="1" ht="12.75">
      <c r="A67" s="357"/>
      <c r="B67" s="358"/>
      <c r="C67" s="104"/>
      <c r="D67" s="104"/>
      <c r="E67" s="359"/>
      <c r="G67" s="105"/>
      <c r="H67" s="119"/>
      <c r="I67" s="119"/>
      <c r="J67" s="119"/>
      <c r="K67" s="119"/>
      <c r="L67" s="98"/>
      <c r="M67" s="98"/>
      <c r="N67" s="98"/>
      <c r="O67" s="98"/>
      <c r="P67" s="98"/>
      <c r="Q67" s="98"/>
      <c r="R67" s="98"/>
      <c r="S67" s="104"/>
      <c r="T67" s="105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</row>
    <row r="68" spans="1:59" s="360" customFormat="1" ht="12.75">
      <c r="A68" s="357"/>
      <c r="B68" s="358"/>
      <c r="C68" s="104"/>
      <c r="D68" s="104"/>
      <c r="E68" s="359"/>
      <c r="G68" s="105"/>
      <c r="H68" s="119"/>
      <c r="I68" s="119"/>
      <c r="J68" s="119"/>
      <c r="K68" s="119"/>
      <c r="L68" s="98"/>
      <c r="M68" s="98"/>
      <c r="N68" s="98"/>
      <c r="O68" s="98"/>
      <c r="P68" s="98"/>
      <c r="Q68" s="98"/>
      <c r="R68" s="98"/>
      <c r="S68" s="104"/>
      <c r="T68" s="105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</row>
    <row r="69" spans="1:59" s="360" customFormat="1" ht="12.75">
      <c r="A69" s="357"/>
      <c r="B69" s="358"/>
      <c r="C69" s="104"/>
      <c r="D69" s="104"/>
      <c r="E69" s="359"/>
      <c r="G69" s="105"/>
      <c r="H69" s="119"/>
      <c r="I69" s="119"/>
      <c r="J69" s="119"/>
      <c r="K69" s="119"/>
      <c r="L69" s="98"/>
      <c r="M69" s="98"/>
      <c r="N69" s="98"/>
      <c r="O69" s="98"/>
      <c r="P69" s="98"/>
      <c r="Q69" s="98"/>
      <c r="R69" s="98"/>
      <c r="S69" s="104"/>
      <c r="T69" s="105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</row>
    <row r="70" spans="1:59" s="360" customFormat="1" ht="12.75">
      <c r="A70" s="357"/>
      <c r="B70" s="358"/>
      <c r="C70" s="104"/>
      <c r="D70" s="104"/>
      <c r="E70" s="359"/>
      <c r="G70" s="105"/>
      <c r="H70" s="119"/>
      <c r="I70" s="119"/>
      <c r="J70" s="119"/>
      <c r="K70" s="119"/>
      <c r="L70" s="98"/>
      <c r="M70" s="98"/>
      <c r="N70" s="98"/>
      <c r="O70" s="98"/>
      <c r="P70" s="98"/>
      <c r="Q70" s="98"/>
      <c r="R70" s="98"/>
      <c r="S70" s="104"/>
      <c r="T70" s="105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</row>
    <row r="71" spans="1:59" s="360" customFormat="1" ht="12.75">
      <c r="A71" s="357"/>
      <c r="B71" s="358"/>
      <c r="C71" s="104"/>
      <c r="D71" s="104"/>
      <c r="E71" s="359"/>
      <c r="G71" s="105"/>
      <c r="H71" s="119"/>
      <c r="I71" s="119"/>
      <c r="J71" s="119"/>
      <c r="K71" s="119"/>
      <c r="L71" s="98"/>
      <c r="M71" s="98"/>
      <c r="N71" s="98"/>
      <c r="O71" s="98"/>
      <c r="P71" s="98"/>
      <c r="Q71" s="98"/>
      <c r="R71" s="98"/>
      <c r="S71" s="104"/>
      <c r="T71" s="105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</row>
    <row r="72" spans="1:59" s="360" customFormat="1" ht="12.75">
      <c r="A72" s="357"/>
      <c r="B72" s="358"/>
      <c r="C72" s="104"/>
      <c r="D72" s="104"/>
      <c r="E72" s="359"/>
      <c r="G72" s="105"/>
      <c r="H72" s="119"/>
      <c r="I72" s="119"/>
      <c r="J72" s="119"/>
      <c r="K72" s="119"/>
      <c r="L72" s="98"/>
      <c r="M72" s="98"/>
      <c r="N72" s="98"/>
      <c r="O72" s="98"/>
      <c r="P72" s="98"/>
      <c r="Q72" s="98"/>
      <c r="R72" s="98"/>
      <c r="S72" s="104"/>
      <c r="T72" s="105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</row>
    <row r="73" spans="1:59" s="360" customFormat="1" ht="12.75">
      <c r="A73" s="357"/>
      <c r="B73" s="358"/>
      <c r="C73" s="104"/>
      <c r="D73" s="104"/>
      <c r="E73" s="359"/>
      <c r="G73" s="105"/>
      <c r="H73" s="119"/>
      <c r="I73" s="119"/>
      <c r="J73" s="119"/>
      <c r="K73" s="119"/>
      <c r="L73" s="98"/>
      <c r="M73" s="98"/>
      <c r="N73" s="98"/>
      <c r="O73" s="98"/>
      <c r="P73" s="98"/>
      <c r="Q73" s="98"/>
      <c r="R73" s="98"/>
      <c r="S73" s="104"/>
      <c r="T73" s="105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</row>
    <row r="74" spans="1:59" s="360" customFormat="1" ht="12.75">
      <c r="A74" s="357"/>
      <c r="B74" s="358"/>
      <c r="C74" s="104"/>
      <c r="D74" s="104"/>
      <c r="E74" s="359"/>
      <c r="G74" s="105"/>
      <c r="H74" s="119"/>
      <c r="I74" s="119"/>
      <c r="J74" s="119"/>
      <c r="K74" s="119"/>
      <c r="L74" s="98"/>
      <c r="M74" s="98"/>
      <c r="N74" s="98"/>
      <c r="O74" s="98"/>
      <c r="P74" s="98"/>
      <c r="Q74" s="98"/>
      <c r="R74" s="98"/>
      <c r="S74" s="104"/>
      <c r="T74" s="105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</row>
    <row r="75" spans="1:59" s="360" customFormat="1" ht="12.75">
      <c r="A75" s="357"/>
      <c r="B75" s="358"/>
      <c r="C75" s="104"/>
      <c r="D75" s="104"/>
      <c r="E75" s="359"/>
      <c r="G75" s="105"/>
      <c r="H75" s="119"/>
      <c r="I75" s="119"/>
      <c r="J75" s="119"/>
      <c r="K75" s="119"/>
      <c r="L75" s="98"/>
      <c r="M75" s="98"/>
      <c r="N75" s="98"/>
      <c r="O75" s="98"/>
      <c r="P75" s="98"/>
      <c r="Q75" s="98"/>
      <c r="R75" s="98"/>
      <c r="S75" s="104"/>
      <c r="T75" s="105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</row>
    <row r="76" spans="1:59" s="360" customFormat="1" ht="12.75">
      <c r="A76" s="357"/>
      <c r="B76" s="358"/>
      <c r="C76" s="104"/>
      <c r="D76" s="104"/>
      <c r="E76" s="359"/>
      <c r="G76" s="105"/>
      <c r="H76" s="119"/>
      <c r="I76" s="119"/>
      <c r="J76" s="119"/>
      <c r="K76" s="119"/>
      <c r="L76" s="98"/>
      <c r="M76" s="98"/>
      <c r="N76" s="98"/>
      <c r="O76" s="98"/>
      <c r="P76" s="98"/>
      <c r="Q76" s="98"/>
      <c r="R76" s="98"/>
      <c r="S76" s="104"/>
      <c r="T76" s="105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59" s="360" customFormat="1" ht="12.75">
      <c r="A77" s="357"/>
      <c r="B77" s="358"/>
      <c r="C77" s="104"/>
      <c r="D77" s="104"/>
      <c r="E77" s="359"/>
      <c r="G77" s="105"/>
      <c r="H77" s="119"/>
      <c r="I77" s="119"/>
      <c r="J77" s="119"/>
      <c r="K77" s="119"/>
      <c r="L77" s="98"/>
      <c r="M77" s="98"/>
      <c r="N77" s="98"/>
      <c r="O77" s="98"/>
      <c r="P77" s="98"/>
      <c r="Q77" s="98"/>
      <c r="R77" s="98"/>
      <c r="S77" s="104"/>
      <c r="T77" s="105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</row>
    <row r="78" spans="1:59" s="360" customFormat="1" ht="12.75">
      <c r="A78" s="357"/>
      <c r="B78" s="358"/>
      <c r="C78" s="104"/>
      <c r="D78" s="104"/>
      <c r="E78" s="359"/>
      <c r="G78" s="105"/>
      <c r="H78" s="119"/>
      <c r="I78" s="119"/>
      <c r="J78" s="119"/>
      <c r="K78" s="119"/>
      <c r="L78" s="98"/>
      <c r="M78" s="98"/>
      <c r="N78" s="98"/>
      <c r="O78" s="98"/>
      <c r="P78" s="98"/>
      <c r="Q78" s="98"/>
      <c r="R78" s="98"/>
      <c r="S78" s="104"/>
      <c r="T78" s="105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59" s="360" customFormat="1" ht="12.75">
      <c r="A79" s="357"/>
      <c r="B79" s="358"/>
      <c r="C79" s="104"/>
      <c r="D79" s="104"/>
      <c r="E79" s="359"/>
      <c r="G79" s="105"/>
      <c r="H79" s="119"/>
      <c r="I79" s="119"/>
      <c r="J79" s="119"/>
      <c r="K79" s="119"/>
      <c r="L79" s="98"/>
      <c r="M79" s="98"/>
      <c r="N79" s="98"/>
      <c r="O79" s="98"/>
      <c r="P79" s="98"/>
      <c r="Q79" s="98"/>
      <c r="R79" s="98"/>
      <c r="S79" s="104"/>
      <c r="T79" s="105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59" s="360" customFormat="1" ht="12.75">
      <c r="A80" s="357"/>
      <c r="B80" s="358"/>
      <c r="C80" s="104"/>
      <c r="D80" s="104"/>
      <c r="E80" s="359"/>
      <c r="G80" s="105"/>
      <c r="H80" s="119"/>
      <c r="I80" s="119"/>
      <c r="J80" s="119"/>
      <c r="K80" s="119"/>
      <c r="L80" s="98"/>
      <c r="M80" s="98"/>
      <c r="N80" s="98"/>
      <c r="O80" s="98"/>
      <c r="P80" s="98"/>
      <c r="Q80" s="98"/>
      <c r="R80" s="98"/>
      <c r="S80" s="104"/>
      <c r="T80" s="105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1:59" s="360" customFormat="1" ht="12.75">
      <c r="A81" s="357"/>
      <c r="B81" s="358"/>
      <c r="C81" s="104"/>
      <c r="D81" s="104"/>
      <c r="E81" s="359"/>
      <c r="G81" s="105"/>
      <c r="H81" s="119"/>
      <c r="I81" s="119"/>
      <c r="J81" s="119"/>
      <c r="K81" s="119"/>
      <c r="L81" s="98"/>
      <c r="M81" s="98"/>
      <c r="N81" s="98"/>
      <c r="O81" s="98"/>
      <c r="P81" s="98"/>
      <c r="Q81" s="98"/>
      <c r="R81" s="98"/>
      <c r="S81" s="104"/>
      <c r="T81" s="105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 s="360" customFormat="1" ht="12.75">
      <c r="A82" s="357"/>
      <c r="B82" s="358"/>
      <c r="C82" s="104"/>
      <c r="D82" s="104"/>
      <c r="E82" s="359"/>
      <c r="G82" s="105"/>
      <c r="H82" s="119"/>
      <c r="I82" s="119"/>
      <c r="J82" s="119"/>
      <c r="K82" s="119"/>
      <c r="L82" s="98"/>
      <c r="M82" s="98"/>
      <c r="N82" s="98"/>
      <c r="O82" s="98"/>
      <c r="P82" s="98"/>
      <c r="Q82" s="98"/>
      <c r="R82" s="98"/>
      <c r="S82" s="104"/>
      <c r="T82" s="105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59" s="360" customFormat="1" ht="12.75">
      <c r="A83" s="357"/>
      <c r="B83" s="358"/>
      <c r="C83" s="104"/>
      <c r="D83" s="104"/>
      <c r="E83" s="359"/>
      <c r="G83" s="105"/>
      <c r="H83" s="119"/>
      <c r="I83" s="119"/>
      <c r="J83" s="119"/>
      <c r="K83" s="119"/>
      <c r="L83" s="98"/>
      <c r="M83" s="98"/>
      <c r="N83" s="98"/>
      <c r="O83" s="98"/>
      <c r="P83" s="98"/>
      <c r="Q83" s="98"/>
      <c r="R83" s="98"/>
      <c r="S83" s="104"/>
      <c r="T83" s="105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</row>
    <row r="84" spans="1:59" s="360" customFormat="1" ht="12.75">
      <c r="A84" s="357"/>
      <c r="B84" s="358"/>
      <c r="C84" s="104"/>
      <c r="D84" s="104"/>
      <c r="E84" s="359"/>
      <c r="G84" s="105"/>
      <c r="H84" s="119"/>
      <c r="I84" s="119"/>
      <c r="J84" s="119"/>
      <c r="K84" s="119"/>
      <c r="L84" s="98"/>
      <c r="M84" s="98"/>
      <c r="N84" s="98"/>
      <c r="O84" s="98"/>
      <c r="P84" s="98"/>
      <c r="Q84" s="98"/>
      <c r="R84" s="98"/>
      <c r="S84" s="104"/>
      <c r="T84" s="105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59" s="360" customFormat="1" ht="12.75">
      <c r="A85" s="357"/>
      <c r="B85" s="358"/>
      <c r="C85" s="104"/>
      <c r="D85" s="104"/>
      <c r="E85" s="359"/>
      <c r="G85" s="105"/>
      <c r="H85" s="119"/>
      <c r="I85" s="119"/>
      <c r="J85" s="119"/>
      <c r="K85" s="119"/>
      <c r="L85" s="98"/>
      <c r="M85" s="98"/>
      <c r="N85" s="98"/>
      <c r="O85" s="98"/>
      <c r="P85" s="98"/>
      <c r="Q85" s="98"/>
      <c r="R85" s="98"/>
      <c r="S85" s="104"/>
      <c r="T85" s="105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59" s="360" customFormat="1" ht="12.75">
      <c r="A86" s="357"/>
      <c r="B86" s="358"/>
      <c r="C86" s="104"/>
      <c r="D86" s="104"/>
      <c r="E86" s="359"/>
      <c r="G86" s="105"/>
      <c r="H86" s="119"/>
      <c r="I86" s="119"/>
      <c r="J86" s="119"/>
      <c r="K86" s="119"/>
      <c r="L86" s="98"/>
      <c r="M86" s="98"/>
      <c r="N86" s="98"/>
      <c r="O86" s="98"/>
      <c r="P86" s="98"/>
      <c r="Q86" s="98"/>
      <c r="R86" s="98"/>
      <c r="S86" s="104"/>
      <c r="T86" s="105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</row>
    <row r="87" spans="1:59" s="360" customFormat="1" ht="12.75">
      <c r="A87" s="357"/>
      <c r="B87" s="358"/>
      <c r="C87" s="104"/>
      <c r="D87" s="104"/>
      <c r="E87" s="359"/>
      <c r="G87" s="105"/>
      <c r="H87" s="119"/>
      <c r="I87" s="119"/>
      <c r="J87" s="119"/>
      <c r="K87" s="119"/>
      <c r="L87" s="98"/>
      <c r="M87" s="98"/>
      <c r="N87" s="98"/>
      <c r="O87" s="98"/>
      <c r="P87" s="98"/>
      <c r="Q87" s="98"/>
      <c r="R87" s="98"/>
      <c r="S87" s="104"/>
      <c r="T87" s="105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</row>
    <row r="88" spans="1:59" s="360" customFormat="1" ht="12.75">
      <c r="A88" s="357"/>
      <c r="B88" s="358"/>
      <c r="C88" s="104"/>
      <c r="D88" s="104"/>
      <c r="E88" s="359"/>
      <c r="G88" s="105"/>
      <c r="H88" s="119"/>
      <c r="I88" s="119"/>
      <c r="J88" s="119"/>
      <c r="K88" s="119"/>
      <c r="L88" s="98"/>
      <c r="M88" s="98"/>
      <c r="N88" s="98"/>
      <c r="O88" s="98"/>
      <c r="P88" s="98"/>
      <c r="Q88" s="98"/>
      <c r="R88" s="98"/>
      <c r="S88" s="104"/>
      <c r="T88" s="105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</sheetData>
  <mergeCells count="1">
    <mergeCell ref="C3:D3"/>
  </mergeCells>
  <printOptions/>
  <pageMargins left="0.4724409448818898" right="0.31496062992125984" top="0.6692913385826772" bottom="0.9448818897637796" header="0.4724409448818898" footer="0.4724409448818898"/>
  <pageSetup fitToHeight="99" horizontalDpi="600" verticalDpi="600" orientation="portrait" paperSize="9" scale="80" r:id="rId1"/>
  <headerFooter alignWithMargins="0">
    <oddFooter>&amp;L&amp;F
&amp;A&amp;C&amp;P/&amp;N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M158"/>
  <sheetViews>
    <sheetView showGridLines="0" view="pageBreakPreview" zoomScaleSheetLayoutView="100" workbookViewId="0" topLeftCell="A1">
      <selection activeCell="G6" sqref="G6"/>
    </sheetView>
  </sheetViews>
  <sheetFormatPr defaultColWidth="9.140625" defaultRowHeight="12.75"/>
  <cols>
    <col min="1" max="1" width="6.8515625" style="357" customWidth="1"/>
    <col min="2" max="2" width="15.140625" style="358" customWidth="1"/>
    <col min="3" max="3" width="47.8515625" style="104" customWidth="1"/>
    <col min="4" max="4" width="10.28125" style="104" customWidth="1"/>
    <col min="5" max="5" width="10.8515625" style="361" customWidth="1"/>
    <col min="6" max="6" width="11.421875" style="360" customWidth="1"/>
    <col min="7" max="7" width="18.140625" style="105" customWidth="1"/>
    <col min="8" max="8" width="9.28125" style="104" bestFit="1" customWidth="1"/>
    <col min="9" max="9" width="11.00390625" style="104" bestFit="1" customWidth="1"/>
    <col min="10" max="13" width="9.28125" style="104" bestFit="1" customWidth="1"/>
    <col min="14" max="16384" width="9.140625" style="104" customWidth="1"/>
  </cols>
  <sheetData>
    <row r="1" spans="1:7" s="39" customFormat="1" ht="57" customHeight="1">
      <c r="A1" s="387" t="s">
        <v>0</v>
      </c>
      <c r="B1" s="388"/>
      <c r="C1" s="389" t="s">
        <v>84</v>
      </c>
      <c r="D1" s="390"/>
      <c r="E1" s="390"/>
      <c r="F1" s="391"/>
      <c r="G1" s="392" t="s">
        <v>1</v>
      </c>
    </row>
    <row r="2" spans="1:7" s="88" customFormat="1" ht="29.25" customHeight="1">
      <c r="A2" s="394" t="s">
        <v>2</v>
      </c>
      <c r="B2" s="395"/>
      <c r="C2" s="520" t="s">
        <v>103</v>
      </c>
      <c r="D2" s="102"/>
      <c r="E2" s="396"/>
      <c r="F2" s="397"/>
      <c r="G2" s="398" t="s">
        <v>3</v>
      </c>
    </row>
    <row r="3" spans="1:7" s="405" customFormat="1" ht="70.5" customHeight="1">
      <c r="A3" s="394" t="s">
        <v>4</v>
      </c>
      <c r="B3" s="395"/>
      <c r="C3" s="657" t="s">
        <v>178</v>
      </c>
      <c r="D3" s="658"/>
      <c r="E3" s="400"/>
      <c r="F3" s="401"/>
      <c r="G3" s="1" t="s">
        <v>237</v>
      </c>
    </row>
    <row r="4" spans="1:7" s="286" customFormat="1" ht="24" customHeight="1">
      <c r="A4" s="518"/>
      <c r="B4" s="107" t="s">
        <v>874</v>
      </c>
      <c r="C4" s="108" t="s">
        <v>234</v>
      </c>
      <c r="D4" s="109"/>
      <c r="E4" s="407"/>
      <c r="F4" s="110"/>
      <c r="G4" s="111"/>
    </row>
    <row r="5" spans="1:7" ht="5.25" customHeight="1" thickBot="1">
      <c r="A5" s="113"/>
      <c r="B5" s="114"/>
      <c r="C5" s="115"/>
      <c r="D5" s="115"/>
      <c r="E5" s="116"/>
      <c r="F5" s="117"/>
      <c r="G5" s="118"/>
    </row>
    <row r="6" spans="1:7" s="128" customFormat="1" ht="51.75" customHeight="1" thickBot="1">
      <c r="A6" s="120" t="s">
        <v>5</v>
      </c>
      <c r="B6" s="121"/>
      <c r="C6" s="122" t="s">
        <v>6</v>
      </c>
      <c r="D6" s="123" t="s">
        <v>7</v>
      </c>
      <c r="E6" s="124" t="s">
        <v>8</v>
      </c>
      <c r="F6" s="125" t="s">
        <v>9</v>
      </c>
      <c r="G6" s="126" t="s">
        <v>10</v>
      </c>
    </row>
    <row r="7" spans="1:7" s="139" customFormat="1" ht="24" customHeight="1" thickTop="1">
      <c r="A7" s="130"/>
      <c r="B7" s="131"/>
      <c r="C7" s="132" t="s">
        <v>11</v>
      </c>
      <c r="D7" s="133"/>
      <c r="E7" s="134"/>
      <c r="F7" s="135"/>
      <c r="G7" s="136"/>
    </row>
    <row r="8" spans="1:7" s="139" customFormat="1" ht="12" customHeight="1">
      <c r="A8" s="130"/>
      <c r="B8" s="131"/>
      <c r="C8" s="229"/>
      <c r="D8" s="133"/>
      <c r="E8" s="134"/>
      <c r="F8" s="135"/>
      <c r="G8" s="136"/>
    </row>
    <row r="9" spans="1:7" s="9" customFormat="1" ht="6" customHeight="1">
      <c r="A9" s="2"/>
      <c r="B9" s="3"/>
      <c r="C9" s="4"/>
      <c r="D9" s="5"/>
      <c r="E9" s="5"/>
      <c r="F9" s="5"/>
      <c r="G9" s="6"/>
    </row>
    <row r="10" spans="1:7" s="128" customFormat="1" ht="10.5" customHeight="1">
      <c r="A10" s="141"/>
      <c r="B10" s="142"/>
      <c r="C10" s="11"/>
      <c r="D10" s="143"/>
      <c r="E10" s="144"/>
      <c r="F10" s="145"/>
      <c r="G10" s="146"/>
    </row>
    <row r="11" spans="1:7" s="99" customFormat="1" ht="18" customHeight="1">
      <c r="A11" s="147"/>
      <c r="B11" s="148"/>
      <c r="C11" s="149" t="s">
        <v>12</v>
      </c>
      <c r="D11" s="150"/>
      <c r="E11" s="151"/>
      <c r="F11" s="152"/>
      <c r="G11" s="153"/>
    </row>
    <row r="12" spans="1:7" s="161" customFormat="1" ht="10.5" customHeight="1">
      <c r="A12" s="147"/>
      <c r="B12" s="154"/>
      <c r="C12" s="155"/>
      <c r="D12" s="156"/>
      <c r="E12" s="157"/>
      <c r="F12" s="158"/>
      <c r="G12" s="159"/>
    </row>
    <row r="13" spans="1:7" s="9" customFormat="1" ht="6" customHeight="1">
      <c r="A13" s="2"/>
      <c r="B13" s="3"/>
      <c r="C13" s="4"/>
      <c r="D13" s="5"/>
      <c r="E13" s="5"/>
      <c r="F13" s="5"/>
      <c r="G13" s="6"/>
    </row>
    <row r="14" spans="1:7" s="161" customFormat="1" ht="18" customHeight="1">
      <c r="A14" s="147"/>
      <c r="B14" s="154"/>
      <c r="C14" s="155"/>
      <c r="D14" s="156"/>
      <c r="E14" s="157"/>
      <c r="F14" s="158"/>
      <c r="G14" s="159"/>
    </row>
    <row r="15" spans="1:7" s="171" customFormat="1" ht="18" customHeight="1">
      <c r="A15" s="163" t="str">
        <f>A22</f>
        <v>1</v>
      </c>
      <c r="B15" s="164" t="s">
        <v>13</v>
      </c>
      <c r="C15" s="166" t="str">
        <f>C22</f>
        <v>Elektromontáže</v>
      </c>
      <c r="D15" s="167"/>
      <c r="E15" s="168"/>
      <c r="F15" s="169"/>
      <c r="G15" s="165">
        <f>G43</f>
        <v>0</v>
      </c>
    </row>
    <row r="16" spans="1:7" s="171" customFormat="1" ht="18" customHeight="1">
      <c r="A16" s="163" t="str">
        <f>A45</f>
        <v>2</v>
      </c>
      <c r="B16" s="164">
        <f>B45</f>
        <v>0</v>
      </c>
      <c r="C16" s="166" t="str">
        <f>C45</f>
        <v>Montážní materiál</v>
      </c>
      <c r="D16" s="167"/>
      <c r="E16" s="168"/>
      <c r="F16" s="169"/>
      <c r="G16" s="165">
        <f>G66</f>
        <v>0</v>
      </c>
    </row>
    <row r="17" spans="1:7" s="171" customFormat="1" ht="18" customHeight="1">
      <c r="A17" s="163" t="str">
        <f>A68</f>
        <v>3</v>
      </c>
      <c r="B17" s="164" t="str">
        <f>B68</f>
        <v>41</v>
      </c>
      <c r="C17" s="166" t="str">
        <f>C68</f>
        <v>VC - 7/32 - Rozváděče</v>
      </c>
      <c r="D17" s="167"/>
      <c r="E17" s="168"/>
      <c r="F17" s="169"/>
      <c r="G17" s="165">
        <f>G77</f>
        <v>0</v>
      </c>
    </row>
    <row r="18" spans="1:7" s="161" customFormat="1" ht="18" customHeight="1">
      <c r="A18" s="163" t="str">
        <f>A79</f>
        <v>4</v>
      </c>
      <c r="B18" s="164">
        <f>B79</f>
        <v>0</v>
      </c>
      <c r="C18" s="155" t="str">
        <f>C79</f>
        <v>Ostatní konstrukce a práce</v>
      </c>
      <c r="D18" s="156"/>
      <c r="E18" s="157"/>
      <c r="F18" s="158"/>
      <c r="G18" s="159">
        <f>G93</f>
        <v>0</v>
      </c>
    </row>
    <row r="19" spans="1:7" s="99" customFormat="1" ht="18" customHeight="1" thickBot="1">
      <c r="A19" s="180"/>
      <c r="B19" s="181"/>
      <c r="C19" s="182"/>
      <c r="D19" s="182"/>
      <c r="E19" s="183"/>
      <c r="F19" s="184"/>
      <c r="G19" s="185"/>
    </row>
    <row r="20" spans="1:7" s="194" customFormat="1" ht="23.25" customHeight="1" thickBot="1">
      <c r="A20" s="186"/>
      <c r="B20" s="187"/>
      <c r="C20" s="188" t="s">
        <v>14</v>
      </c>
      <c r="D20" s="188"/>
      <c r="E20" s="189"/>
      <c r="F20" s="190"/>
      <c r="G20" s="191">
        <f>SUM(G15:G19)</f>
        <v>0</v>
      </c>
    </row>
    <row r="21" spans="1:7" ht="13.5" customHeight="1" thickBot="1">
      <c r="A21" s="196"/>
      <c r="B21" s="197"/>
      <c r="C21" s="198"/>
      <c r="D21" s="198"/>
      <c r="E21" s="199"/>
      <c r="F21" s="200"/>
      <c r="G21" s="201"/>
    </row>
    <row r="22" spans="1:7" s="210" customFormat="1" ht="16.5" customHeight="1" thickBot="1">
      <c r="A22" s="202" t="s">
        <v>15</v>
      </c>
      <c r="B22" s="203" t="s">
        <v>238</v>
      </c>
      <c r="C22" s="204" t="s">
        <v>239</v>
      </c>
      <c r="D22" s="205"/>
      <c r="E22" s="206"/>
      <c r="F22" s="207"/>
      <c r="G22" s="208"/>
    </row>
    <row r="23" spans="1:7" s="256" customFormat="1" ht="12.75">
      <c r="A23" s="248"/>
      <c r="B23" s="249"/>
      <c r="C23" s="250"/>
      <c r="D23" s="251"/>
      <c r="E23" s="215"/>
      <c r="F23" s="252"/>
      <c r="G23" s="253"/>
    </row>
    <row r="24" spans="1:7" s="21" customFormat="1" ht="20.25" customHeight="1">
      <c r="A24" s="12" t="s">
        <v>136</v>
      </c>
      <c r="B24" s="13">
        <v>210086550</v>
      </c>
      <c r="C24" s="14" t="s">
        <v>244</v>
      </c>
      <c r="D24" s="15" t="s">
        <v>21</v>
      </c>
      <c r="E24" s="16">
        <v>10</v>
      </c>
      <c r="F24" s="17"/>
      <c r="G24" s="18">
        <f>$E24*F24</f>
        <v>0</v>
      </c>
    </row>
    <row r="25" spans="1:7" s="262" customFormat="1" ht="16.5" customHeight="1">
      <c r="A25" s="12" t="s">
        <v>137</v>
      </c>
      <c r="B25" s="227">
        <v>210086551</v>
      </c>
      <c r="C25" s="259" t="s">
        <v>245</v>
      </c>
      <c r="D25" s="260" t="s">
        <v>21</v>
      </c>
      <c r="E25" s="228">
        <v>5</v>
      </c>
      <c r="F25" s="228"/>
      <c r="G25" s="18">
        <f aca="true" t="shared" si="0" ref="G25:G41">$E25*F25</f>
        <v>0</v>
      </c>
    </row>
    <row r="26" spans="1:7" s="262" customFormat="1" ht="16.5" customHeight="1">
      <c r="A26" s="12" t="s">
        <v>138</v>
      </c>
      <c r="B26" s="227">
        <v>210086580</v>
      </c>
      <c r="C26" s="259" t="s">
        <v>246</v>
      </c>
      <c r="D26" s="260" t="s">
        <v>21</v>
      </c>
      <c r="E26" s="228">
        <v>50</v>
      </c>
      <c r="F26" s="228"/>
      <c r="G26" s="18">
        <f t="shared" si="0"/>
        <v>0</v>
      </c>
    </row>
    <row r="27" spans="1:7" s="262" customFormat="1" ht="16.5" customHeight="1">
      <c r="A27" s="12" t="s">
        <v>139</v>
      </c>
      <c r="B27" s="227">
        <v>210086581</v>
      </c>
      <c r="C27" s="259" t="s">
        <v>247</v>
      </c>
      <c r="D27" s="260" t="s">
        <v>21</v>
      </c>
      <c r="E27" s="228">
        <v>30</v>
      </c>
      <c r="F27" s="228"/>
      <c r="G27" s="18">
        <f t="shared" si="0"/>
        <v>0</v>
      </c>
    </row>
    <row r="28" spans="1:7" s="262" customFormat="1" ht="16.5" customHeight="1">
      <c r="A28" s="12" t="s">
        <v>140</v>
      </c>
      <c r="B28" s="227">
        <v>210086580</v>
      </c>
      <c r="C28" s="259" t="s">
        <v>248</v>
      </c>
      <c r="D28" s="260" t="s">
        <v>21</v>
      </c>
      <c r="E28" s="228">
        <v>30</v>
      </c>
      <c r="F28" s="228"/>
      <c r="G28" s="18">
        <f t="shared" si="0"/>
        <v>0</v>
      </c>
    </row>
    <row r="29" spans="1:7" s="262" customFormat="1" ht="16.5" customHeight="1">
      <c r="A29" s="12" t="s">
        <v>141</v>
      </c>
      <c r="B29" s="227">
        <v>210086580</v>
      </c>
      <c r="C29" s="259" t="s">
        <v>248</v>
      </c>
      <c r="D29" s="260" t="s">
        <v>21</v>
      </c>
      <c r="E29" s="228">
        <v>30</v>
      </c>
      <c r="F29" s="228"/>
      <c r="G29" s="18">
        <f t="shared" si="0"/>
        <v>0</v>
      </c>
    </row>
    <row r="30" spans="1:7" s="543" customFormat="1" ht="28.5" customHeight="1">
      <c r="A30" s="12" t="s">
        <v>192</v>
      </c>
      <c r="B30" s="43">
        <v>210113012</v>
      </c>
      <c r="C30" s="44" t="s">
        <v>249</v>
      </c>
      <c r="D30" s="45" t="s">
        <v>20</v>
      </c>
      <c r="E30" s="46">
        <v>1</v>
      </c>
      <c r="F30" s="46"/>
      <c r="G30" s="18">
        <f t="shared" si="0"/>
        <v>0</v>
      </c>
    </row>
    <row r="31" spans="1:7" s="543" customFormat="1" ht="28.5" customHeight="1">
      <c r="A31" s="12" t="s">
        <v>196</v>
      </c>
      <c r="B31" s="43">
        <v>210221004</v>
      </c>
      <c r="C31" s="44" t="s">
        <v>250</v>
      </c>
      <c r="D31" s="45" t="s">
        <v>21</v>
      </c>
      <c r="E31" s="46">
        <v>80</v>
      </c>
      <c r="F31" s="46"/>
      <c r="G31" s="18">
        <f t="shared" si="0"/>
        <v>0</v>
      </c>
    </row>
    <row r="32" spans="1:7" s="543" customFormat="1" ht="28.5" customHeight="1">
      <c r="A32" s="12" t="s">
        <v>200</v>
      </c>
      <c r="B32" s="43">
        <v>210221005</v>
      </c>
      <c r="C32" s="44" t="s">
        <v>251</v>
      </c>
      <c r="D32" s="45" t="s">
        <v>20</v>
      </c>
      <c r="E32" s="46">
        <v>20</v>
      </c>
      <c r="F32" s="46"/>
      <c r="G32" s="18">
        <f t="shared" si="0"/>
        <v>0</v>
      </c>
    </row>
    <row r="33" spans="1:7" s="543" customFormat="1" ht="28.5" customHeight="1">
      <c r="A33" s="12" t="s">
        <v>204</v>
      </c>
      <c r="B33" s="43">
        <v>210101000</v>
      </c>
      <c r="C33" s="44" t="s">
        <v>252</v>
      </c>
      <c r="D33" s="45" t="s">
        <v>20</v>
      </c>
      <c r="E33" s="46">
        <v>30</v>
      </c>
      <c r="F33" s="46"/>
      <c r="G33" s="18">
        <f t="shared" si="0"/>
        <v>0</v>
      </c>
    </row>
    <row r="34" spans="1:7" s="543" customFormat="1" ht="28.5" customHeight="1">
      <c r="A34" s="12" t="s">
        <v>206</v>
      </c>
      <c r="B34" s="43">
        <v>210101003</v>
      </c>
      <c r="C34" s="44" t="s">
        <v>253</v>
      </c>
      <c r="D34" s="45" t="s">
        <v>20</v>
      </c>
      <c r="E34" s="46">
        <v>50</v>
      </c>
      <c r="F34" s="46"/>
      <c r="G34" s="18">
        <f t="shared" si="0"/>
        <v>0</v>
      </c>
    </row>
    <row r="35" spans="1:7" s="543" customFormat="1" ht="28.5" customHeight="1">
      <c r="A35" s="12" t="s">
        <v>207</v>
      </c>
      <c r="B35" s="43">
        <v>210101005</v>
      </c>
      <c r="C35" s="44" t="s">
        <v>254</v>
      </c>
      <c r="D35" s="45" t="s">
        <v>20</v>
      </c>
      <c r="E35" s="46">
        <v>10</v>
      </c>
      <c r="F35" s="46"/>
      <c r="G35" s="18">
        <f t="shared" si="0"/>
        <v>0</v>
      </c>
    </row>
    <row r="36" spans="1:7" s="543" customFormat="1" ht="28.5" customHeight="1">
      <c r="A36" s="12" t="s">
        <v>208</v>
      </c>
      <c r="B36" s="43">
        <v>210101006</v>
      </c>
      <c r="C36" s="44" t="s">
        <v>255</v>
      </c>
      <c r="D36" s="45" t="s">
        <v>21</v>
      </c>
      <c r="E36" s="46">
        <v>50</v>
      </c>
      <c r="F36" s="46"/>
      <c r="G36" s="18">
        <f t="shared" si="0"/>
        <v>0</v>
      </c>
    </row>
    <row r="37" spans="1:7" s="543" customFormat="1" ht="28.5" customHeight="1">
      <c r="A37" s="12" t="s">
        <v>209</v>
      </c>
      <c r="B37" s="43">
        <v>210201012</v>
      </c>
      <c r="C37" s="44" t="s">
        <v>256</v>
      </c>
      <c r="D37" s="45" t="s">
        <v>20</v>
      </c>
      <c r="E37" s="46">
        <v>2</v>
      </c>
      <c r="F37" s="46"/>
      <c r="G37" s="18">
        <f t="shared" si="0"/>
        <v>0</v>
      </c>
    </row>
    <row r="38" spans="1:7" s="543" customFormat="1" ht="28.5" customHeight="1">
      <c r="A38" s="12" t="s">
        <v>240</v>
      </c>
      <c r="B38" s="43">
        <v>210201013</v>
      </c>
      <c r="C38" s="44" t="s">
        <v>257</v>
      </c>
      <c r="D38" s="45" t="s">
        <v>20</v>
      </c>
      <c r="E38" s="46">
        <v>2</v>
      </c>
      <c r="F38" s="46"/>
      <c r="G38" s="18">
        <f t="shared" si="0"/>
        <v>0</v>
      </c>
    </row>
    <row r="39" spans="1:7" s="543" customFormat="1" ht="28.5" customHeight="1">
      <c r="A39" s="12" t="s">
        <v>241</v>
      </c>
      <c r="B39" s="43">
        <v>210201031</v>
      </c>
      <c r="C39" s="44" t="s">
        <v>258</v>
      </c>
      <c r="D39" s="45" t="s">
        <v>20</v>
      </c>
      <c r="E39" s="46">
        <v>1</v>
      </c>
      <c r="F39" s="46"/>
      <c r="G39" s="18">
        <f t="shared" si="0"/>
        <v>0</v>
      </c>
    </row>
    <row r="40" spans="1:7" s="543" customFormat="1" ht="28.5" customHeight="1">
      <c r="A40" s="12" t="s">
        <v>242</v>
      </c>
      <c r="B40" s="43">
        <v>210201032</v>
      </c>
      <c r="C40" s="44" t="s">
        <v>259</v>
      </c>
      <c r="D40" s="45" t="s">
        <v>20</v>
      </c>
      <c r="E40" s="46">
        <v>1</v>
      </c>
      <c r="F40" s="46"/>
      <c r="G40" s="18">
        <f t="shared" si="0"/>
        <v>0</v>
      </c>
    </row>
    <row r="41" spans="1:7" s="543" customFormat="1" ht="28.5" customHeight="1">
      <c r="A41" s="12" t="s">
        <v>243</v>
      </c>
      <c r="B41" s="43">
        <v>210292099</v>
      </c>
      <c r="C41" s="44" t="s">
        <v>260</v>
      </c>
      <c r="D41" s="45" t="s">
        <v>20</v>
      </c>
      <c r="E41" s="46">
        <v>10</v>
      </c>
      <c r="F41" s="46"/>
      <c r="G41" s="18">
        <f t="shared" si="0"/>
        <v>0</v>
      </c>
    </row>
    <row r="42" spans="1:7" s="50" customFormat="1" ht="11.25" customHeight="1" thickBot="1">
      <c r="A42" s="52"/>
      <c r="B42" s="53"/>
      <c r="C42" s="266"/>
      <c r="D42" s="54"/>
      <c r="E42" s="55"/>
      <c r="F42" s="56"/>
      <c r="G42" s="57"/>
    </row>
    <row r="43" spans="1:7" s="99" customFormat="1" ht="16.5" customHeight="1" thickBot="1">
      <c r="A43" s="237"/>
      <c r="B43" s="238"/>
      <c r="C43" s="239" t="s">
        <v>24</v>
      </c>
      <c r="D43" s="240"/>
      <c r="E43" s="241"/>
      <c r="F43" s="242"/>
      <c r="G43" s="243">
        <f>SUBTOTAL(9,G23:G42)</f>
        <v>0</v>
      </c>
    </row>
    <row r="44" spans="1:7" s="99" customFormat="1" ht="13.5" customHeight="1" thickBot="1">
      <c r="A44" s="244"/>
      <c r="B44" s="245"/>
      <c r="C44" s="246"/>
      <c r="D44" s="246"/>
      <c r="E44" s="247"/>
      <c r="F44" s="200"/>
      <c r="G44" s="201"/>
    </row>
    <row r="45" spans="1:7" s="210" customFormat="1" ht="16.5" customHeight="1" thickBot="1">
      <c r="A45" s="202" t="s">
        <v>25</v>
      </c>
      <c r="B45" s="203"/>
      <c r="C45" s="204" t="s">
        <v>261</v>
      </c>
      <c r="D45" s="205"/>
      <c r="E45" s="206"/>
      <c r="F45" s="207"/>
      <c r="G45" s="208"/>
    </row>
    <row r="46" spans="1:7" s="256" customFormat="1" ht="12.75">
      <c r="A46" s="248"/>
      <c r="B46" s="249"/>
      <c r="C46" s="250"/>
      <c r="D46" s="251"/>
      <c r="E46" s="215"/>
      <c r="F46" s="252"/>
      <c r="G46" s="253"/>
    </row>
    <row r="47" spans="1:7" s="171" customFormat="1" ht="20.25" customHeight="1">
      <c r="A47" s="363" t="s">
        <v>142</v>
      </c>
      <c r="B47" s="344" t="s">
        <v>272</v>
      </c>
      <c r="C47" s="366" t="s">
        <v>273</v>
      </c>
      <c r="D47" s="382" t="s">
        <v>21</v>
      </c>
      <c r="E47" s="55">
        <v>30</v>
      </c>
      <c r="F47" s="368"/>
      <c r="G47" s="18">
        <f aca="true" t="shared" si="1" ref="G47:G64">$E47*F47</f>
        <v>0</v>
      </c>
    </row>
    <row r="48" spans="1:7" s="171" customFormat="1" ht="20.25" customHeight="1">
      <c r="A48" s="363" t="s">
        <v>143</v>
      </c>
      <c r="B48" s="344" t="s">
        <v>274</v>
      </c>
      <c r="C48" s="366" t="s">
        <v>275</v>
      </c>
      <c r="D48" s="382" t="s">
        <v>21</v>
      </c>
      <c r="E48" s="55">
        <v>50</v>
      </c>
      <c r="F48" s="368"/>
      <c r="G48" s="18">
        <f t="shared" si="1"/>
        <v>0</v>
      </c>
    </row>
    <row r="49" spans="1:7" s="171" customFormat="1" ht="20.25" customHeight="1">
      <c r="A49" s="363" t="s">
        <v>26</v>
      </c>
      <c r="B49" s="344" t="s">
        <v>276</v>
      </c>
      <c r="C49" s="366" t="s">
        <v>277</v>
      </c>
      <c r="D49" s="382" t="s">
        <v>21</v>
      </c>
      <c r="E49" s="55">
        <v>10</v>
      </c>
      <c r="F49" s="368"/>
      <c r="G49" s="18">
        <f t="shared" si="1"/>
        <v>0</v>
      </c>
    </row>
    <row r="50" spans="1:7" s="171" customFormat="1" ht="20.25" customHeight="1">
      <c r="A50" s="363" t="s">
        <v>144</v>
      </c>
      <c r="B50" s="344" t="s">
        <v>278</v>
      </c>
      <c r="C50" s="366" t="s">
        <v>279</v>
      </c>
      <c r="D50" s="382" t="s">
        <v>21</v>
      </c>
      <c r="E50" s="55">
        <v>5</v>
      </c>
      <c r="F50" s="368"/>
      <c r="G50" s="18">
        <f t="shared" si="1"/>
        <v>0</v>
      </c>
    </row>
    <row r="51" spans="1:7" s="171" customFormat="1" ht="20.25" customHeight="1">
      <c r="A51" s="363" t="s">
        <v>145</v>
      </c>
      <c r="B51" s="344" t="s">
        <v>280</v>
      </c>
      <c r="C51" s="366" t="s">
        <v>248</v>
      </c>
      <c r="D51" s="382" t="s">
        <v>21</v>
      </c>
      <c r="E51" s="55">
        <v>30</v>
      </c>
      <c r="F51" s="368"/>
      <c r="G51" s="18">
        <f t="shared" si="1"/>
        <v>0</v>
      </c>
    </row>
    <row r="52" spans="1:7" s="171" customFormat="1" ht="20.25" customHeight="1">
      <c r="A52" s="363" t="s">
        <v>146</v>
      </c>
      <c r="B52" s="344" t="s">
        <v>281</v>
      </c>
      <c r="C52" s="366" t="s">
        <v>282</v>
      </c>
      <c r="D52" s="382" t="s">
        <v>20</v>
      </c>
      <c r="E52" s="55">
        <v>1</v>
      </c>
      <c r="F52" s="368"/>
      <c r="G52" s="18">
        <f t="shared" si="1"/>
        <v>0</v>
      </c>
    </row>
    <row r="53" spans="1:7" s="171" customFormat="1" ht="20.25" customHeight="1">
      <c r="A53" s="363" t="s">
        <v>262</v>
      </c>
      <c r="B53" s="344" t="s">
        <v>283</v>
      </c>
      <c r="C53" s="366" t="s">
        <v>254</v>
      </c>
      <c r="D53" s="382" t="s">
        <v>20</v>
      </c>
      <c r="E53" s="55">
        <v>10</v>
      </c>
      <c r="F53" s="368"/>
      <c r="G53" s="18">
        <f t="shared" si="1"/>
        <v>0</v>
      </c>
    </row>
    <row r="54" spans="1:7" s="171" customFormat="1" ht="20.25" customHeight="1">
      <c r="A54" s="363" t="s">
        <v>263</v>
      </c>
      <c r="B54" s="344">
        <v>35110</v>
      </c>
      <c r="C54" s="366" t="s">
        <v>255</v>
      </c>
      <c r="D54" s="382" t="s">
        <v>21</v>
      </c>
      <c r="E54" s="55">
        <v>50</v>
      </c>
      <c r="F54" s="368"/>
      <c r="G54" s="18">
        <f t="shared" si="1"/>
        <v>0</v>
      </c>
    </row>
    <row r="55" spans="1:7" s="171" customFormat="1" ht="20.25" customHeight="1">
      <c r="A55" s="363" t="s">
        <v>264</v>
      </c>
      <c r="B55" s="344" t="s">
        <v>284</v>
      </c>
      <c r="C55" s="366" t="s">
        <v>256</v>
      </c>
      <c r="D55" s="382" t="s">
        <v>20</v>
      </c>
      <c r="E55" s="55">
        <v>2</v>
      </c>
      <c r="F55" s="368"/>
      <c r="G55" s="18">
        <f t="shared" si="1"/>
        <v>0</v>
      </c>
    </row>
    <row r="56" spans="1:7" s="171" customFormat="1" ht="20.25" customHeight="1">
      <c r="A56" s="363" t="s">
        <v>265</v>
      </c>
      <c r="B56" s="344" t="s">
        <v>285</v>
      </c>
      <c r="C56" s="366" t="s">
        <v>257</v>
      </c>
      <c r="D56" s="382" t="s">
        <v>20</v>
      </c>
      <c r="E56" s="55">
        <v>2</v>
      </c>
      <c r="F56" s="368"/>
      <c r="G56" s="18">
        <f t="shared" si="1"/>
        <v>0</v>
      </c>
    </row>
    <row r="57" spans="1:7" s="171" customFormat="1" ht="20.25" customHeight="1">
      <c r="A57" s="363" t="s">
        <v>266</v>
      </c>
      <c r="B57" s="344" t="s">
        <v>286</v>
      </c>
      <c r="C57" s="366" t="s">
        <v>287</v>
      </c>
      <c r="D57" s="382" t="s">
        <v>20</v>
      </c>
      <c r="E57" s="55">
        <v>2</v>
      </c>
      <c r="F57" s="368"/>
      <c r="G57" s="18">
        <f t="shared" si="1"/>
        <v>0</v>
      </c>
    </row>
    <row r="58" spans="1:7" s="171" customFormat="1" ht="20.25" customHeight="1">
      <c r="A58" s="363" t="s">
        <v>267</v>
      </c>
      <c r="B58" s="344" t="s">
        <v>288</v>
      </c>
      <c r="C58" s="366" t="s">
        <v>289</v>
      </c>
      <c r="D58" s="382" t="s">
        <v>20</v>
      </c>
      <c r="E58" s="55">
        <v>2</v>
      </c>
      <c r="F58" s="368"/>
      <c r="G58" s="18">
        <f t="shared" si="1"/>
        <v>0</v>
      </c>
    </row>
    <row r="59" spans="1:7" s="171" customFormat="1" ht="20.25" customHeight="1">
      <c r="A59" s="363" t="s">
        <v>268</v>
      </c>
      <c r="B59" s="344" t="s">
        <v>286</v>
      </c>
      <c r="C59" s="366" t="s">
        <v>258</v>
      </c>
      <c r="D59" s="382" t="s">
        <v>20</v>
      </c>
      <c r="E59" s="55">
        <v>1</v>
      </c>
      <c r="F59" s="368"/>
      <c r="G59" s="18">
        <f t="shared" si="1"/>
        <v>0</v>
      </c>
    </row>
    <row r="60" spans="1:7" s="171" customFormat="1" ht="20.25" customHeight="1">
      <c r="A60" s="363" t="s">
        <v>269</v>
      </c>
      <c r="B60" s="344" t="s">
        <v>290</v>
      </c>
      <c r="C60" s="366" t="s">
        <v>291</v>
      </c>
      <c r="D60" s="382" t="s">
        <v>20</v>
      </c>
      <c r="E60" s="55">
        <v>1</v>
      </c>
      <c r="F60" s="368"/>
      <c r="G60" s="18">
        <f t="shared" si="1"/>
        <v>0</v>
      </c>
    </row>
    <row r="61" spans="1:7" s="171" customFormat="1" ht="20.25" customHeight="1">
      <c r="A61" s="363" t="s">
        <v>270</v>
      </c>
      <c r="B61" s="344" t="s">
        <v>292</v>
      </c>
      <c r="C61" s="366" t="s">
        <v>293</v>
      </c>
      <c r="D61" s="382" t="s">
        <v>104</v>
      </c>
      <c r="E61" s="55">
        <v>50</v>
      </c>
      <c r="F61" s="368"/>
      <c r="G61" s="18">
        <f t="shared" si="1"/>
        <v>0</v>
      </c>
    </row>
    <row r="62" spans="1:7" s="171" customFormat="1" ht="20.25" customHeight="1">
      <c r="A62" s="363" t="s">
        <v>271</v>
      </c>
      <c r="B62" s="344" t="s">
        <v>294</v>
      </c>
      <c r="C62" s="366" t="s">
        <v>295</v>
      </c>
      <c r="D62" s="382" t="s">
        <v>20</v>
      </c>
      <c r="E62" s="55">
        <v>20</v>
      </c>
      <c r="F62" s="368"/>
      <c r="G62" s="18">
        <f t="shared" si="1"/>
        <v>0</v>
      </c>
    </row>
    <row r="63" spans="1:7" s="171" customFormat="1" ht="20.25" customHeight="1">
      <c r="A63" s="363" t="s">
        <v>298</v>
      </c>
      <c r="B63" s="344"/>
      <c r="C63" s="366" t="s">
        <v>296</v>
      </c>
      <c r="D63" s="382" t="s">
        <v>49</v>
      </c>
      <c r="E63" s="55">
        <v>1</v>
      </c>
      <c r="F63" s="368"/>
      <c r="G63" s="18">
        <f t="shared" si="1"/>
        <v>0</v>
      </c>
    </row>
    <row r="64" spans="1:7" s="171" customFormat="1" ht="20.25" customHeight="1">
      <c r="A64" s="363" t="s">
        <v>299</v>
      </c>
      <c r="B64" s="344"/>
      <c r="C64" s="366" t="s">
        <v>297</v>
      </c>
      <c r="D64" s="382" t="s">
        <v>49</v>
      </c>
      <c r="E64" s="55">
        <v>1</v>
      </c>
      <c r="F64" s="368"/>
      <c r="G64" s="18">
        <f t="shared" si="1"/>
        <v>0</v>
      </c>
    </row>
    <row r="65" spans="1:7" s="256" customFormat="1" ht="13.5" thickBot="1">
      <c r="A65" s="270"/>
      <c r="B65" s="271"/>
      <c r="C65" s="272"/>
      <c r="D65" s="273"/>
      <c r="E65" s="236"/>
      <c r="F65" s="274"/>
      <c r="G65" s="275"/>
    </row>
    <row r="66" spans="1:7" s="99" customFormat="1" ht="16.5" customHeight="1" thickBot="1">
      <c r="A66" s="237"/>
      <c r="B66" s="238"/>
      <c r="C66" s="239" t="s">
        <v>24</v>
      </c>
      <c r="D66" s="276"/>
      <c r="E66" s="277"/>
      <c r="F66" s="278"/>
      <c r="G66" s="243">
        <f>SUBTOTAL(9,G46:G65)</f>
        <v>0</v>
      </c>
    </row>
    <row r="67" spans="1:7" s="99" customFormat="1" ht="13.5" customHeight="1" thickBot="1">
      <c r="A67" s="244"/>
      <c r="B67" s="245"/>
      <c r="C67" s="246"/>
      <c r="D67" s="279"/>
      <c r="E67" s="280"/>
      <c r="F67" s="281"/>
      <c r="G67" s="201"/>
    </row>
    <row r="68" spans="1:7" s="210" customFormat="1" ht="16.5" customHeight="1" thickBot="1">
      <c r="A68" s="202" t="s">
        <v>13</v>
      </c>
      <c r="B68" s="203" t="s">
        <v>58</v>
      </c>
      <c r="C68" s="204" t="s">
        <v>300</v>
      </c>
      <c r="D68" s="205"/>
      <c r="E68" s="206"/>
      <c r="F68" s="207"/>
      <c r="G68" s="208"/>
    </row>
    <row r="69" spans="1:7" s="79" customFormat="1" ht="12.75">
      <c r="A69" s="70"/>
      <c r="B69" s="71"/>
      <c r="C69" s="72"/>
      <c r="D69" s="73"/>
      <c r="E69" s="74"/>
      <c r="F69" s="75"/>
      <c r="G69" s="76"/>
    </row>
    <row r="70" spans="1:7" s="59" customFormat="1" ht="18" customHeight="1">
      <c r="A70" s="12" t="s">
        <v>28</v>
      </c>
      <c r="B70" s="33" t="s">
        <v>301</v>
      </c>
      <c r="C70" s="14" t="s">
        <v>302</v>
      </c>
      <c r="D70" s="15" t="s">
        <v>20</v>
      </c>
      <c r="E70" s="17">
        <v>2</v>
      </c>
      <c r="F70" s="17"/>
      <c r="G70" s="18">
        <f>$E70*F70</f>
        <v>0</v>
      </c>
    </row>
    <row r="71" spans="1:7" s="256" customFormat="1" ht="18.75" customHeight="1">
      <c r="A71" s="12" t="s">
        <v>29</v>
      </c>
      <c r="B71" s="331" t="s">
        <v>303</v>
      </c>
      <c r="C71" s="332" t="s">
        <v>304</v>
      </c>
      <c r="D71" s="333" t="s">
        <v>20</v>
      </c>
      <c r="E71" s="334">
        <v>1</v>
      </c>
      <c r="F71" s="335"/>
      <c r="G71" s="34">
        <f aca="true" t="shared" si="2" ref="G71:G72">$E71*F71</f>
        <v>0</v>
      </c>
    </row>
    <row r="72" spans="1:7" s="256" customFormat="1" ht="18.75" customHeight="1">
      <c r="A72" s="12" t="s">
        <v>30</v>
      </c>
      <c r="B72" s="331" t="s">
        <v>305</v>
      </c>
      <c r="C72" s="332" t="s">
        <v>306</v>
      </c>
      <c r="D72" s="333" t="s">
        <v>20</v>
      </c>
      <c r="E72" s="334">
        <v>1</v>
      </c>
      <c r="F72" s="335"/>
      <c r="G72" s="34">
        <f t="shared" si="2"/>
        <v>0</v>
      </c>
    </row>
    <row r="73" spans="1:7" s="256" customFormat="1" ht="15.75" customHeight="1">
      <c r="A73" s="301"/>
      <c r="B73" s="331"/>
      <c r="C73" s="332"/>
      <c r="D73" s="333"/>
      <c r="E73" s="334"/>
      <c r="F73" s="335"/>
      <c r="G73" s="34"/>
    </row>
    <row r="74" spans="1:7" s="256" customFormat="1" ht="18.75" customHeight="1">
      <c r="A74" s="12" t="s">
        <v>31</v>
      </c>
      <c r="B74" s="331"/>
      <c r="C74" s="332" t="s">
        <v>307</v>
      </c>
      <c r="D74" s="333" t="s">
        <v>20</v>
      </c>
      <c r="E74" s="334">
        <v>1</v>
      </c>
      <c r="F74" s="335"/>
      <c r="G74" s="34">
        <f>$E74*F74</f>
        <v>0</v>
      </c>
    </row>
    <row r="75" spans="1:7" s="256" customFormat="1" ht="18.75" customHeight="1">
      <c r="A75" s="12" t="s">
        <v>32</v>
      </c>
      <c r="B75" s="331"/>
      <c r="C75" s="332" t="s">
        <v>308</v>
      </c>
      <c r="D75" s="333" t="s">
        <v>20</v>
      </c>
      <c r="E75" s="334">
        <v>1</v>
      </c>
      <c r="F75" s="335"/>
      <c r="G75" s="34">
        <f aca="true" t="shared" si="3" ref="G75">$E75*F75</f>
        <v>0</v>
      </c>
    </row>
    <row r="76" spans="1:7" s="79" customFormat="1" ht="17.25" customHeight="1" thickBot="1">
      <c r="A76" s="81"/>
      <c r="B76" s="82"/>
      <c r="C76" s="83"/>
      <c r="D76" s="84"/>
      <c r="E76" s="85"/>
      <c r="F76" s="86"/>
      <c r="G76" s="87"/>
    </row>
    <row r="77" spans="1:7" s="99" customFormat="1" ht="16.5" customHeight="1" thickBot="1">
      <c r="A77" s="237"/>
      <c r="B77" s="238"/>
      <c r="C77" s="239"/>
      <c r="D77" s="240"/>
      <c r="E77" s="282"/>
      <c r="F77" s="278"/>
      <c r="G77" s="243">
        <f>SUBTOTAL(9,G69:G76)</f>
        <v>0</v>
      </c>
    </row>
    <row r="78" spans="1:7" s="99" customFormat="1" ht="13.7" customHeight="1" thickBot="1">
      <c r="A78" s="244"/>
      <c r="B78" s="245"/>
      <c r="C78" s="246"/>
      <c r="D78" s="246"/>
      <c r="E78" s="285"/>
      <c r="F78" s="281"/>
      <c r="G78" s="201"/>
    </row>
    <row r="79" spans="1:7" s="210" customFormat="1" ht="16.5" customHeight="1" thickBot="1">
      <c r="A79" s="202" t="s">
        <v>27</v>
      </c>
      <c r="B79" s="203"/>
      <c r="C79" s="204" t="s">
        <v>62</v>
      </c>
      <c r="D79" s="205"/>
      <c r="E79" s="206"/>
      <c r="F79" s="207"/>
      <c r="G79" s="208"/>
    </row>
    <row r="80" spans="1:7" s="99" customFormat="1" ht="12.75">
      <c r="A80" s="212"/>
      <c r="B80" s="299"/>
      <c r="C80" s="213"/>
      <c r="D80" s="214"/>
      <c r="E80" s="287"/>
      <c r="F80" s="216"/>
      <c r="G80" s="300"/>
    </row>
    <row r="81" spans="1:7" s="268" customFormat="1" ht="21.75" customHeight="1">
      <c r="A81" s="258" t="s">
        <v>38</v>
      </c>
      <c r="B81" s="227">
        <v>320410004</v>
      </c>
      <c r="C81" s="259" t="s">
        <v>312</v>
      </c>
      <c r="D81" s="590" t="s">
        <v>313</v>
      </c>
      <c r="E81" s="228">
        <v>8</v>
      </c>
      <c r="F81" s="228"/>
      <c r="G81" s="34">
        <f>$E81*F81</f>
        <v>0</v>
      </c>
    </row>
    <row r="82" spans="1:7" s="268" customFormat="1" ht="21.75" customHeight="1">
      <c r="A82" s="258" t="s">
        <v>229</v>
      </c>
      <c r="B82" s="227" t="s">
        <v>314</v>
      </c>
      <c r="C82" s="259" t="s">
        <v>315</v>
      </c>
      <c r="D82" s="590" t="s">
        <v>313</v>
      </c>
      <c r="E82" s="228">
        <v>2</v>
      </c>
      <c r="F82" s="228"/>
      <c r="G82" s="34">
        <f aca="true" t="shared" si="4" ref="G82:G91">$E82*F82</f>
        <v>0</v>
      </c>
    </row>
    <row r="83" spans="1:7" s="268" customFormat="1" ht="21.75" customHeight="1">
      <c r="A83" s="258" t="s">
        <v>230</v>
      </c>
      <c r="B83" s="227" t="s">
        <v>314</v>
      </c>
      <c r="C83" s="259" t="s">
        <v>316</v>
      </c>
      <c r="D83" s="590" t="s">
        <v>313</v>
      </c>
      <c r="E83" s="228">
        <v>5</v>
      </c>
      <c r="F83" s="228"/>
      <c r="G83" s="34">
        <f t="shared" si="4"/>
        <v>0</v>
      </c>
    </row>
    <row r="84" spans="1:7" s="268" customFormat="1" ht="21.75" customHeight="1">
      <c r="A84" s="258" t="s">
        <v>231</v>
      </c>
      <c r="B84" s="227" t="s">
        <v>314</v>
      </c>
      <c r="C84" s="259" t="s">
        <v>317</v>
      </c>
      <c r="D84" s="590" t="s">
        <v>313</v>
      </c>
      <c r="E84" s="228">
        <v>1</v>
      </c>
      <c r="F84" s="228"/>
      <c r="G84" s="34">
        <f t="shared" si="4"/>
        <v>0</v>
      </c>
    </row>
    <row r="85" spans="1:7" s="268" customFormat="1" ht="21.75" customHeight="1">
      <c r="A85" s="258" t="s">
        <v>233</v>
      </c>
      <c r="B85" s="227" t="s">
        <v>314</v>
      </c>
      <c r="C85" s="259" t="s">
        <v>318</v>
      </c>
      <c r="D85" s="590" t="s">
        <v>313</v>
      </c>
      <c r="E85" s="228">
        <v>1</v>
      </c>
      <c r="F85" s="228"/>
      <c r="G85" s="34">
        <f t="shared" si="4"/>
        <v>0</v>
      </c>
    </row>
    <row r="86" spans="1:7" s="268" customFormat="1" ht="21.75" customHeight="1">
      <c r="A86" s="258" t="s">
        <v>235</v>
      </c>
      <c r="B86" s="227" t="s">
        <v>314</v>
      </c>
      <c r="C86" s="259" t="s">
        <v>319</v>
      </c>
      <c r="D86" s="590" t="s">
        <v>313</v>
      </c>
      <c r="E86" s="228">
        <v>1</v>
      </c>
      <c r="F86" s="228"/>
      <c r="G86" s="34">
        <f t="shared" si="4"/>
        <v>0</v>
      </c>
    </row>
    <row r="87" spans="1:7" s="268" customFormat="1" ht="21.75" customHeight="1">
      <c r="A87" s="258" t="s">
        <v>236</v>
      </c>
      <c r="B87" s="227" t="s">
        <v>314</v>
      </c>
      <c r="C87" s="259" t="s">
        <v>320</v>
      </c>
      <c r="D87" s="590" t="s">
        <v>313</v>
      </c>
      <c r="E87" s="228">
        <v>10</v>
      </c>
      <c r="F87" s="228"/>
      <c r="G87" s="34">
        <f t="shared" si="4"/>
        <v>0</v>
      </c>
    </row>
    <row r="88" spans="1:7" s="268" customFormat="1" ht="21.75" customHeight="1">
      <c r="A88" s="258" t="s">
        <v>309</v>
      </c>
      <c r="B88" s="227" t="s">
        <v>314</v>
      </c>
      <c r="C88" s="259" t="s">
        <v>321</v>
      </c>
      <c r="D88" s="590" t="s">
        <v>20</v>
      </c>
      <c r="E88" s="228">
        <v>2</v>
      </c>
      <c r="F88" s="228"/>
      <c r="G88" s="34">
        <f t="shared" si="4"/>
        <v>0</v>
      </c>
    </row>
    <row r="89" spans="1:7" s="268" customFormat="1" ht="18" customHeight="1">
      <c r="A89" s="570"/>
      <c r="B89" s="571"/>
      <c r="C89" s="589"/>
      <c r="D89" s="591"/>
      <c r="E89" s="573"/>
      <c r="F89" s="573"/>
      <c r="G89" s="574"/>
    </row>
    <row r="90" spans="1:7" s="268" customFormat="1" ht="21.75" customHeight="1">
      <c r="A90" s="258" t="s">
        <v>310</v>
      </c>
      <c r="B90" s="571"/>
      <c r="C90" s="589" t="s">
        <v>322</v>
      </c>
      <c r="D90" s="590" t="s">
        <v>20</v>
      </c>
      <c r="E90" s="228">
        <v>2</v>
      </c>
      <c r="F90" s="573"/>
      <c r="G90" s="34">
        <f t="shared" si="4"/>
        <v>0</v>
      </c>
    </row>
    <row r="91" spans="1:7" s="268" customFormat="1" ht="21.75" customHeight="1">
      <c r="A91" s="258" t="s">
        <v>311</v>
      </c>
      <c r="B91" s="571"/>
      <c r="C91" s="589" t="s">
        <v>323</v>
      </c>
      <c r="D91" s="590" t="s">
        <v>20</v>
      </c>
      <c r="E91" s="228">
        <v>2</v>
      </c>
      <c r="F91" s="573"/>
      <c r="G91" s="34">
        <f t="shared" si="4"/>
        <v>0</v>
      </c>
    </row>
    <row r="92" spans="1:7" s="99" customFormat="1" ht="13.5" thickBot="1">
      <c r="A92" s="270"/>
      <c r="B92" s="271"/>
      <c r="C92" s="272"/>
      <c r="D92" s="271"/>
      <c r="E92" s="291"/>
      <c r="F92" s="292"/>
      <c r="G92" s="275"/>
    </row>
    <row r="93" spans="1:7" s="297" customFormat="1" ht="16.5" customHeight="1" thickBot="1">
      <c r="A93" s="293"/>
      <c r="B93" s="294"/>
      <c r="C93" s="239" t="s">
        <v>24</v>
      </c>
      <c r="D93" s="295"/>
      <c r="E93" s="296"/>
      <c r="F93" s="242"/>
      <c r="G93" s="243">
        <f>SUBTOTAL(9,G80:G92)</f>
        <v>0</v>
      </c>
    </row>
    <row r="94" spans="1:7" s="99" customFormat="1" ht="13.7" customHeight="1" thickBot="1">
      <c r="A94" s="244"/>
      <c r="B94" s="245"/>
      <c r="C94" s="246"/>
      <c r="D94" s="246"/>
      <c r="E94" s="285"/>
      <c r="F94" s="200"/>
      <c r="G94" s="201"/>
    </row>
    <row r="95" spans="1:7" s="355" customFormat="1" ht="30.75" customHeight="1" thickBot="1">
      <c r="A95" s="186"/>
      <c r="B95" s="348"/>
      <c r="C95" s="349" t="s">
        <v>53</v>
      </c>
      <c r="D95" s="349"/>
      <c r="E95" s="350"/>
      <c r="F95" s="351"/>
      <c r="G95" s="352">
        <f>SUBTOTAL(9,G22:G94)</f>
        <v>0</v>
      </c>
    </row>
    <row r="96" ht="12.75">
      <c r="E96" s="359"/>
    </row>
    <row r="97" ht="12.75">
      <c r="E97" s="359"/>
    </row>
    <row r="98" ht="12.75">
      <c r="E98" s="359"/>
    </row>
    <row r="99" ht="12.75">
      <c r="E99" s="359"/>
    </row>
    <row r="100" ht="12.75">
      <c r="E100" s="359"/>
    </row>
    <row r="101" ht="12.75">
      <c r="E101" s="359"/>
    </row>
    <row r="102" ht="12.75">
      <c r="E102" s="359"/>
    </row>
    <row r="103" spans="1:13" s="360" customFormat="1" ht="12.75">
      <c r="A103" s="357"/>
      <c r="B103" s="358"/>
      <c r="C103" s="104"/>
      <c r="D103" s="104"/>
      <c r="E103" s="359"/>
      <c r="G103" s="105"/>
      <c r="H103" s="104"/>
      <c r="I103" s="104"/>
      <c r="J103" s="104"/>
      <c r="K103" s="104"/>
      <c r="L103" s="104"/>
      <c r="M103" s="104"/>
    </row>
    <row r="104" spans="1:13" s="360" customFormat="1" ht="12.75">
      <c r="A104" s="357"/>
      <c r="B104" s="358"/>
      <c r="C104" s="104"/>
      <c r="D104" s="104"/>
      <c r="E104" s="359"/>
      <c r="G104" s="105"/>
      <c r="H104" s="104"/>
      <c r="I104" s="104"/>
      <c r="J104" s="104"/>
      <c r="K104" s="104"/>
      <c r="L104" s="104"/>
      <c r="M104" s="104"/>
    </row>
    <row r="105" spans="1:13" s="360" customFormat="1" ht="12.75">
      <c r="A105" s="357"/>
      <c r="B105" s="358"/>
      <c r="C105" s="104"/>
      <c r="D105" s="104"/>
      <c r="E105" s="359"/>
      <c r="G105" s="105"/>
      <c r="H105" s="104"/>
      <c r="I105" s="104"/>
      <c r="J105" s="104"/>
      <c r="K105" s="104"/>
      <c r="L105" s="104"/>
      <c r="M105" s="104"/>
    </row>
    <row r="106" spans="1:13" s="360" customFormat="1" ht="12.75">
      <c r="A106" s="357"/>
      <c r="B106" s="358"/>
      <c r="C106" s="104"/>
      <c r="D106" s="104"/>
      <c r="E106" s="359"/>
      <c r="G106" s="105"/>
      <c r="H106" s="104"/>
      <c r="I106" s="104"/>
      <c r="J106" s="104"/>
      <c r="K106" s="104"/>
      <c r="L106" s="104"/>
      <c r="M106" s="104"/>
    </row>
    <row r="107" spans="1:13" s="360" customFormat="1" ht="12.75">
      <c r="A107" s="357"/>
      <c r="B107" s="358"/>
      <c r="C107" s="104"/>
      <c r="D107" s="104"/>
      <c r="E107" s="359"/>
      <c r="G107" s="105"/>
      <c r="H107" s="104"/>
      <c r="I107" s="104"/>
      <c r="J107" s="104"/>
      <c r="K107" s="104"/>
      <c r="L107" s="104"/>
      <c r="M107" s="104"/>
    </row>
    <row r="108" spans="1:13" s="360" customFormat="1" ht="12.75">
      <c r="A108" s="357"/>
      <c r="B108" s="358"/>
      <c r="C108" s="104"/>
      <c r="D108" s="104"/>
      <c r="E108" s="359"/>
      <c r="G108" s="105"/>
      <c r="H108" s="104"/>
      <c r="I108" s="104"/>
      <c r="J108" s="104"/>
      <c r="K108" s="104"/>
      <c r="L108" s="104"/>
      <c r="M108" s="104"/>
    </row>
    <row r="109" spans="1:13" s="360" customFormat="1" ht="12.75">
      <c r="A109" s="357"/>
      <c r="B109" s="358"/>
      <c r="C109" s="104"/>
      <c r="D109" s="104"/>
      <c r="E109" s="359"/>
      <c r="G109" s="105"/>
      <c r="H109" s="104"/>
      <c r="I109" s="104"/>
      <c r="J109" s="104"/>
      <c r="K109" s="104"/>
      <c r="L109" s="104"/>
      <c r="M109" s="104"/>
    </row>
    <row r="110" spans="1:13" s="360" customFormat="1" ht="12.75">
      <c r="A110" s="357"/>
      <c r="B110" s="358"/>
      <c r="C110" s="104"/>
      <c r="D110" s="104"/>
      <c r="E110" s="359"/>
      <c r="G110" s="105"/>
      <c r="H110" s="104"/>
      <c r="I110" s="104"/>
      <c r="J110" s="104"/>
      <c r="K110" s="104"/>
      <c r="L110" s="104"/>
      <c r="M110" s="104"/>
    </row>
    <row r="111" spans="1:13" s="360" customFormat="1" ht="12.75">
      <c r="A111" s="357"/>
      <c r="B111" s="358"/>
      <c r="C111" s="104"/>
      <c r="D111" s="104"/>
      <c r="E111" s="359"/>
      <c r="G111" s="105"/>
      <c r="H111" s="104"/>
      <c r="I111" s="104"/>
      <c r="J111" s="104"/>
      <c r="K111" s="104"/>
      <c r="L111" s="104"/>
      <c r="M111" s="104"/>
    </row>
    <row r="112" spans="1:13" s="360" customFormat="1" ht="12.75">
      <c r="A112" s="357"/>
      <c r="B112" s="358"/>
      <c r="C112" s="104"/>
      <c r="D112" s="104"/>
      <c r="E112" s="359"/>
      <c r="G112" s="105"/>
      <c r="H112" s="104"/>
      <c r="I112" s="104"/>
      <c r="J112" s="104"/>
      <c r="K112" s="104"/>
      <c r="L112" s="104"/>
      <c r="M112" s="104"/>
    </row>
    <row r="113" spans="1:13" s="360" customFormat="1" ht="12.75">
      <c r="A113" s="357"/>
      <c r="B113" s="358"/>
      <c r="C113" s="104"/>
      <c r="D113" s="104"/>
      <c r="E113" s="359"/>
      <c r="G113" s="105"/>
      <c r="H113" s="104"/>
      <c r="I113" s="104"/>
      <c r="J113" s="104"/>
      <c r="K113" s="104"/>
      <c r="L113" s="104"/>
      <c r="M113" s="104"/>
    </row>
    <row r="114" spans="1:13" s="360" customFormat="1" ht="12.75">
      <c r="A114" s="357"/>
      <c r="B114" s="358"/>
      <c r="C114" s="104"/>
      <c r="D114" s="104"/>
      <c r="E114" s="359"/>
      <c r="G114" s="105"/>
      <c r="H114" s="104"/>
      <c r="I114" s="104"/>
      <c r="J114" s="104"/>
      <c r="K114" s="104"/>
      <c r="L114" s="104"/>
      <c r="M114" s="104"/>
    </row>
    <row r="115" spans="1:13" s="360" customFormat="1" ht="12.75">
      <c r="A115" s="357"/>
      <c r="B115" s="358"/>
      <c r="C115" s="104"/>
      <c r="D115" s="104"/>
      <c r="E115" s="359"/>
      <c r="G115" s="105"/>
      <c r="H115" s="104"/>
      <c r="I115" s="104"/>
      <c r="J115" s="104"/>
      <c r="K115" s="104"/>
      <c r="L115" s="104"/>
      <c r="M115" s="104"/>
    </row>
    <row r="116" spans="1:13" s="360" customFormat="1" ht="12.75">
      <c r="A116" s="357"/>
      <c r="B116" s="358"/>
      <c r="C116" s="104"/>
      <c r="D116" s="104"/>
      <c r="E116" s="359"/>
      <c r="G116" s="105"/>
      <c r="H116" s="104"/>
      <c r="I116" s="104"/>
      <c r="J116" s="104"/>
      <c r="K116" s="104"/>
      <c r="L116" s="104"/>
      <c r="M116" s="104"/>
    </row>
    <row r="117" spans="1:13" s="360" customFormat="1" ht="12.75">
      <c r="A117" s="357"/>
      <c r="B117" s="358"/>
      <c r="C117" s="104"/>
      <c r="D117" s="104"/>
      <c r="E117" s="359"/>
      <c r="G117" s="105"/>
      <c r="H117" s="104"/>
      <c r="I117" s="104"/>
      <c r="J117" s="104"/>
      <c r="K117" s="104"/>
      <c r="L117" s="104"/>
      <c r="M117" s="104"/>
    </row>
    <row r="118" spans="1:13" s="360" customFormat="1" ht="12.75">
      <c r="A118" s="357"/>
      <c r="B118" s="358"/>
      <c r="C118" s="104"/>
      <c r="D118" s="104"/>
      <c r="E118" s="359"/>
      <c r="G118" s="105"/>
      <c r="H118" s="104"/>
      <c r="I118" s="104"/>
      <c r="J118" s="104"/>
      <c r="K118" s="104"/>
      <c r="L118" s="104"/>
      <c r="M118" s="104"/>
    </row>
    <row r="119" spans="1:13" s="360" customFormat="1" ht="12.75">
      <c r="A119" s="357"/>
      <c r="B119" s="358"/>
      <c r="C119" s="104"/>
      <c r="D119" s="104"/>
      <c r="E119" s="359"/>
      <c r="G119" s="105"/>
      <c r="H119" s="104"/>
      <c r="I119" s="104"/>
      <c r="J119" s="104"/>
      <c r="K119" s="104"/>
      <c r="L119" s="104"/>
      <c r="M119" s="104"/>
    </row>
    <row r="120" spans="1:13" s="360" customFormat="1" ht="12.75">
      <c r="A120" s="357"/>
      <c r="B120" s="358"/>
      <c r="C120" s="104"/>
      <c r="D120" s="104"/>
      <c r="E120" s="359"/>
      <c r="G120" s="105"/>
      <c r="H120" s="104"/>
      <c r="I120" s="104"/>
      <c r="J120" s="104"/>
      <c r="K120" s="104"/>
      <c r="L120" s="104"/>
      <c r="M120" s="104"/>
    </row>
    <row r="121" spans="1:13" s="360" customFormat="1" ht="12.75">
      <c r="A121" s="357"/>
      <c r="B121" s="358"/>
      <c r="C121" s="104"/>
      <c r="D121" s="104"/>
      <c r="E121" s="359"/>
      <c r="G121" s="105"/>
      <c r="H121" s="104"/>
      <c r="I121" s="104"/>
      <c r="J121" s="104"/>
      <c r="K121" s="104"/>
      <c r="L121" s="104"/>
      <c r="M121" s="104"/>
    </row>
    <row r="122" spans="1:13" s="360" customFormat="1" ht="12.75">
      <c r="A122" s="357"/>
      <c r="B122" s="358"/>
      <c r="C122" s="104"/>
      <c r="D122" s="104"/>
      <c r="E122" s="359"/>
      <c r="G122" s="105"/>
      <c r="H122" s="104"/>
      <c r="I122" s="104"/>
      <c r="J122" s="104"/>
      <c r="K122" s="104"/>
      <c r="L122" s="104"/>
      <c r="M122" s="104"/>
    </row>
    <row r="123" spans="1:13" s="360" customFormat="1" ht="12.75">
      <c r="A123" s="357"/>
      <c r="B123" s="358"/>
      <c r="C123" s="104"/>
      <c r="D123" s="104"/>
      <c r="E123" s="359"/>
      <c r="G123" s="105"/>
      <c r="H123" s="104"/>
      <c r="I123" s="104"/>
      <c r="J123" s="104"/>
      <c r="K123" s="104"/>
      <c r="L123" s="104"/>
      <c r="M123" s="104"/>
    </row>
    <row r="124" spans="1:13" s="360" customFormat="1" ht="12.75">
      <c r="A124" s="357"/>
      <c r="B124" s="358"/>
      <c r="C124" s="104"/>
      <c r="D124" s="104"/>
      <c r="E124" s="359"/>
      <c r="G124" s="105"/>
      <c r="H124" s="104"/>
      <c r="I124" s="104"/>
      <c r="J124" s="104"/>
      <c r="K124" s="104"/>
      <c r="L124" s="104"/>
      <c r="M124" s="104"/>
    </row>
    <row r="125" spans="1:13" s="360" customFormat="1" ht="12.75">
      <c r="A125" s="357"/>
      <c r="B125" s="358"/>
      <c r="C125" s="104"/>
      <c r="D125" s="104"/>
      <c r="E125" s="359"/>
      <c r="G125" s="105"/>
      <c r="H125" s="104"/>
      <c r="I125" s="104"/>
      <c r="J125" s="104"/>
      <c r="K125" s="104"/>
      <c r="L125" s="104"/>
      <c r="M125" s="104"/>
    </row>
    <row r="126" spans="1:13" s="360" customFormat="1" ht="12.75">
      <c r="A126" s="357"/>
      <c r="B126" s="358"/>
      <c r="C126" s="104"/>
      <c r="D126" s="104"/>
      <c r="E126" s="359"/>
      <c r="G126" s="105"/>
      <c r="H126" s="104"/>
      <c r="I126" s="104"/>
      <c r="J126" s="104"/>
      <c r="K126" s="104"/>
      <c r="L126" s="104"/>
      <c r="M126" s="104"/>
    </row>
    <row r="127" spans="1:13" s="360" customFormat="1" ht="12.75">
      <c r="A127" s="357"/>
      <c r="B127" s="358"/>
      <c r="C127" s="104"/>
      <c r="D127" s="104"/>
      <c r="E127" s="359"/>
      <c r="G127" s="105"/>
      <c r="H127" s="104"/>
      <c r="I127" s="104"/>
      <c r="J127" s="104"/>
      <c r="K127" s="104"/>
      <c r="L127" s="104"/>
      <c r="M127" s="104"/>
    </row>
    <row r="128" spans="1:13" s="360" customFormat="1" ht="12.75">
      <c r="A128" s="357"/>
      <c r="B128" s="358"/>
      <c r="C128" s="104"/>
      <c r="D128" s="104"/>
      <c r="E128" s="359"/>
      <c r="G128" s="105"/>
      <c r="H128" s="104"/>
      <c r="I128" s="104"/>
      <c r="J128" s="104"/>
      <c r="K128" s="104"/>
      <c r="L128" s="104"/>
      <c r="M128" s="104"/>
    </row>
    <row r="129" spans="1:13" s="360" customFormat="1" ht="12.75">
      <c r="A129" s="357"/>
      <c r="B129" s="358"/>
      <c r="C129" s="104"/>
      <c r="D129" s="104"/>
      <c r="E129" s="359"/>
      <c r="G129" s="105"/>
      <c r="H129" s="104"/>
      <c r="I129" s="104"/>
      <c r="J129" s="104"/>
      <c r="K129" s="104"/>
      <c r="L129" s="104"/>
      <c r="M129" s="104"/>
    </row>
    <row r="130" spans="1:13" s="360" customFormat="1" ht="12.75">
      <c r="A130" s="357"/>
      <c r="B130" s="358"/>
      <c r="C130" s="104"/>
      <c r="D130" s="104"/>
      <c r="E130" s="359"/>
      <c r="G130" s="105"/>
      <c r="H130" s="104"/>
      <c r="I130" s="104"/>
      <c r="J130" s="104"/>
      <c r="K130" s="104"/>
      <c r="L130" s="104"/>
      <c r="M130" s="104"/>
    </row>
    <row r="131" spans="1:13" s="360" customFormat="1" ht="12.75">
      <c r="A131" s="357"/>
      <c r="B131" s="358"/>
      <c r="C131" s="104"/>
      <c r="D131" s="104"/>
      <c r="E131" s="359"/>
      <c r="G131" s="105"/>
      <c r="H131" s="104"/>
      <c r="I131" s="104"/>
      <c r="J131" s="104"/>
      <c r="K131" s="104"/>
      <c r="L131" s="104"/>
      <c r="M131" s="104"/>
    </row>
    <row r="132" spans="1:13" s="360" customFormat="1" ht="12.75">
      <c r="A132" s="357"/>
      <c r="B132" s="358"/>
      <c r="C132" s="104"/>
      <c r="D132" s="104"/>
      <c r="E132" s="359"/>
      <c r="G132" s="105"/>
      <c r="H132" s="104"/>
      <c r="I132" s="104"/>
      <c r="J132" s="104"/>
      <c r="K132" s="104"/>
      <c r="L132" s="104"/>
      <c r="M132" s="104"/>
    </row>
    <row r="133" spans="1:13" s="360" customFormat="1" ht="12.75">
      <c r="A133" s="357"/>
      <c r="B133" s="358"/>
      <c r="C133" s="104"/>
      <c r="D133" s="104"/>
      <c r="E133" s="359"/>
      <c r="G133" s="105"/>
      <c r="H133" s="104"/>
      <c r="I133" s="104"/>
      <c r="J133" s="104"/>
      <c r="K133" s="104"/>
      <c r="L133" s="104"/>
      <c r="M133" s="104"/>
    </row>
    <row r="134" spans="1:13" s="360" customFormat="1" ht="12.75">
      <c r="A134" s="357"/>
      <c r="B134" s="358"/>
      <c r="C134" s="104"/>
      <c r="D134" s="104"/>
      <c r="E134" s="359"/>
      <c r="G134" s="105"/>
      <c r="H134" s="104"/>
      <c r="I134" s="104"/>
      <c r="J134" s="104"/>
      <c r="K134" s="104"/>
      <c r="L134" s="104"/>
      <c r="M134" s="104"/>
    </row>
    <row r="135" spans="1:13" s="360" customFormat="1" ht="12.75">
      <c r="A135" s="357"/>
      <c r="B135" s="358"/>
      <c r="C135" s="104"/>
      <c r="D135" s="104"/>
      <c r="E135" s="359"/>
      <c r="G135" s="105"/>
      <c r="H135" s="104"/>
      <c r="I135" s="104"/>
      <c r="J135" s="104"/>
      <c r="K135" s="104"/>
      <c r="L135" s="104"/>
      <c r="M135" s="104"/>
    </row>
    <row r="136" spans="1:13" s="360" customFormat="1" ht="12.75">
      <c r="A136" s="357"/>
      <c r="B136" s="358"/>
      <c r="C136" s="104"/>
      <c r="D136" s="104"/>
      <c r="E136" s="359"/>
      <c r="G136" s="105"/>
      <c r="H136" s="104"/>
      <c r="I136" s="104"/>
      <c r="J136" s="104"/>
      <c r="K136" s="104"/>
      <c r="L136" s="104"/>
      <c r="M136" s="104"/>
    </row>
    <row r="137" spans="1:13" s="360" customFormat="1" ht="12.75">
      <c r="A137" s="357"/>
      <c r="B137" s="358"/>
      <c r="C137" s="104"/>
      <c r="D137" s="104"/>
      <c r="E137" s="359"/>
      <c r="G137" s="105"/>
      <c r="H137" s="104"/>
      <c r="I137" s="104"/>
      <c r="J137" s="104"/>
      <c r="K137" s="104"/>
      <c r="L137" s="104"/>
      <c r="M137" s="104"/>
    </row>
    <row r="138" spans="1:13" s="360" customFormat="1" ht="12.75">
      <c r="A138" s="357"/>
      <c r="B138" s="358"/>
      <c r="C138" s="104"/>
      <c r="D138" s="104"/>
      <c r="E138" s="359"/>
      <c r="G138" s="105"/>
      <c r="H138" s="104"/>
      <c r="I138" s="104"/>
      <c r="J138" s="104"/>
      <c r="K138" s="104"/>
      <c r="L138" s="104"/>
      <c r="M138" s="104"/>
    </row>
    <row r="139" spans="1:13" s="360" customFormat="1" ht="12.75">
      <c r="A139" s="357"/>
      <c r="B139" s="358"/>
      <c r="C139" s="104"/>
      <c r="D139" s="104"/>
      <c r="E139" s="359"/>
      <c r="G139" s="105"/>
      <c r="H139" s="104"/>
      <c r="I139" s="104"/>
      <c r="J139" s="104"/>
      <c r="K139" s="104"/>
      <c r="L139" s="104"/>
      <c r="M139" s="104"/>
    </row>
    <row r="140" spans="1:13" s="360" customFormat="1" ht="12.75">
      <c r="A140" s="357"/>
      <c r="B140" s="358"/>
      <c r="C140" s="104"/>
      <c r="D140" s="104"/>
      <c r="E140" s="359"/>
      <c r="G140" s="105"/>
      <c r="H140" s="104"/>
      <c r="I140" s="104"/>
      <c r="J140" s="104"/>
      <c r="K140" s="104"/>
      <c r="L140" s="104"/>
      <c r="M140" s="104"/>
    </row>
    <row r="141" spans="1:13" s="360" customFormat="1" ht="12.75">
      <c r="A141" s="357"/>
      <c r="B141" s="358"/>
      <c r="C141" s="104"/>
      <c r="D141" s="104"/>
      <c r="E141" s="359"/>
      <c r="G141" s="105"/>
      <c r="H141" s="104"/>
      <c r="I141" s="104"/>
      <c r="J141" s="104"/>
      <c r="K141" s="104"/>
      <c r="L141" s="104"/>
      <c r="M141" s="104"/>
    </row>
    <row r="142" spans="1:13" s="360" customFormat="1" ht="12.75">
      <c r="A142" s="357"/>
      <c r="B142" s="358"/>
      <c r="C142" s="104"/>
      <c r="D142" s="104"/>
      <c r="E142" s="359"/>
      <c r="G142" s="105"/>
      <c r="H142" s="104"/>
      <c r="I142" s="104"/>
      <c r="J142" s="104"/>
      <c r="K142" s="104"/>
      <c r="L142" s="104"/>
      <c r="M142" s="104"/>
    </row>
    <row r="143" spans="1:13" s="360" customFormat="1" ht="12.75">
      <c r="A143" s="357"/>
      <c r="B143" s="358"/>
      <c r="C143" s="104"/>
      <c r="D143" s="104"/>
      <c r="E143" s="359"/>
      <c r="G143" s="105"/>
      <c r="H143" s="104"/>
      <c r="I143" s="104"/>
      <c r="J143" s="104"/>
      <c r="K143" s="104"/>
      <c r="L143" s="104"/>
      <c r="M143" s="104"/>
    </row>
    <row r="144" spans="1:13" s="360" customFormat="1" ht="12.75">
      <c r="A144" s="357"/>
      <c r="B144" s="358"/>
      <c r="C144" s="104"/>
      <c r="D144" s="104"/>
      <c r="E144" s="359"/>
      <c r="G144" s="105"/>
      <c r="H144" s="104"/>
      <c r="I144" s="104"/>
      <c r="J144" s="104"/>
      <c r="K144" s="104"/>
      <c r="L144" s="104"/>
      <c r="M144" s="104"/>
    </row>
    <row r="145" spans="1:13" s="360" customFormat="1" ht="12.75">
      <c r="A145" s="357"/>
      <c r="B145" s="358"/>
      <c r="C145" s="104"/>
      <c r="D145" s="104"/>
      <c r="E145" s="359"/>
      <c r="G145" s="105"/>
      <c r="H145" s="104"/>
      <c r="I145" s="104"/>
      <c r="J145" s="104"/>
      <c r="K145" s="104"/>
      <c r="L145" s="104"/>
      <c r="M145" s="104"/>
    </row>
    <row r="146" spans="1:13" s="360" customFormat="1" ht="12.75">
      <c r="A146" s="357"/>
      <c r="B146" s="358"/>
      <c r="C146" s="104"/>
      <c r="D146" s="104"/>
      <c r="E146" s="359"/>
      <c r="G146" s="105"/>
      <c r="H146" s="104"/>
      <c r="I146" s="104"/>
      <c r="J146" s="104"/>
      <c r="K146" s="104"/>
      <c r="L146" s="104"/>
      <c r="M146" s="104"/>
    </row>
    <row r="147" spans="1:13" s="360" customFormat="1" ht="12.75">
      <c r="A147" s="357"/>
      <c r="B147" s="358"/>
      <c r="C147" s="104"/>
      <c r="D147" s="104"/>
      <c r="E147" s="359"/>
      <c r="G147" s="105"/>
      <c r="H147" s="104"/>
      <c r="I147" s="104"/>
      <c r="J147" s="104"/>
      <c r="K147" s="104"/>
      <c r="L147" s="104"/>
      <c r="M147" s="104"/>
    </row>
    <row r="148" spans="1:13" s="360" customFormat="1" ht="12.75">
      <c r="A148" s="357"/>
      <c r="B148" s="358"/>
      <c r="C148" s="104"/>
      <c r="D148" s="104"/>
      <c r="E148" s="359"/>
      <c r="G148" s="105"/>
      <c r="H148" s="104"/>
      <c r="I148" s="104"/>
      <c r="J148" s="104"/>
      <c r="K148" s="104"/>
      <c r="L148" s="104"/>
      <c r="M148" s="104"/>
    </row>
    <row r="149" spans="1:13" s="360" customFormat="1" ht="12.75">
      <c r="A149" s="357"/>
      <c r="B149" s="358"/>
      <c r="C149" s="104"/>
      <c r="D149" s="104"/>
      <c r="E149" s="359"/>
      <c r="G149" s="105"/>
      <c r="H149" s="104"/>
      <c r="I149" s="104"/>
      <c r="J149" s="104"/>
      <c r="K149" s="104"/>
      <c r="L149" s="104"/>
      <c r="M149" s="104"/>
    </row>
    <row r="150" spans="1:13" s="360" customFormat="1" ht="12.75">
      <c r="A150" s="357"/>
      <c r="B150" s="358"/>
      <c r="C150" s="104"/>
      <c r="D150" s="104"/>
      <c r="E150" s="359"/>
      <c r="G150" s="105"/>
      <c r="H150" s="104"/>
      <c r="I150" s="104"/>
      <c r="J150" s="104"/>
      <c r="K150" s="104"/>
      <c r="L150" s="104"/>
      <c r="M150" s="104"/>
    </row>
    <row r="151" spans="1:13" s="360" customFormat="1" ht="12.75">
      <c r="A151" s="357"/>
      <c r="B151" s="358"/>
      <c r="C151" s="104"/>
      <c r="D151" s="104"/>
      <c r="E151" s="359"/>
      <c r="G151" s="105"/>
      <c r="H151" s="104"/>
      <c r="I151" s="104"/>
      <c r="J151" s="104"/>
      <c r="K151" s="104"/>
      <c r="L151" s="104"/>
      <c r="M151" s="104"/>
    </row>
    <row r="152" spans="1:13" s="360" customFormat="1" ht="12.75">
      <c r="A152" s="357"/>
      <c r="B152" s="358"/>
      <c r="C152" s="104"/>
      <c r="D152" s="104"/>
      <c r="E152" s="359"/>
      <c r="G152" s="105"/>
      <c r="H152" s="104"/>
      <c r="I152" s="104"/>
      <c r="J152" s="104"/>
      <c r="K152" s="104"/>
      <c r="L152" s="104"/>
      <c r="M152" s="104"/>
    </row>
    <row r="153" spans="1:13" s="360" customFormat="1" ht="12.75">
      <c r="A153" s="357"/>
      <c r="B153" s="358"/>
      <c r="C153" s="104"/>
      <c r="D153" s="104"/>
      <c r="E153" s="359"/>
      <c r="G153" s="105"/>
      <c r="H153" s="104"/>
      <c r="I153" s="104"/>
      <c r="J153" s="104"/>
      <c r="K153" s="104"/>
      <c r="L153" s="104"/>
      <c r="M153" s="104"/>
    </row>
    <row r="154" spans="1:13" s="360" customFormat="1" ht="12.75">
      <c r="A154" s="357"/>
      <c r="B154" s="358"/>
      <c r="C154" s="104"/>
      <c r="D154" s="104"/>
      <c r="E154" s="359"/>
      <c r="G154" s="105"/>
      <c r="H154" s="104"/>
      <c r="I154" s="104"/>
      <c r="J154" s="104"/>
      <c r="K154" s="104"/>
      <c r="L154" s="104"/>
      <c r="M154" s="104"/>
    </row>
    <row r="155" spans="1:13" s="360" customFormat="1" ht="12.75">
      <c r="A155" s="357"/>
      <c r="B155" s="358"/>
      <c r="C155" s="104"/>
      <c r="D155" s="104"/>
      <c r="E155" s="359"/>
      <c r="G155" s="105"/>
      <c r="H155" s="104"/>
      <c r="I155" s="104"/>
      <c r="J155" s="104"/>
      <c r="K155" s="104"/>
      <c r="L155" s="104"/>
      <c r="M155" s="104"/>
    </row>
    <row r="156" spans="1:13" s="360" customFormat="1" ht="12.75">
      <c r="A156" s="357"/>
      <c r="B156" s="358"/>
      <c r="C156" s="104"/>
      <c r="D156" s="104"/>
      <c r="E156" s="359"/>
      <c r="G156" s="105"/>
      <c r="H156" s="104"/>
      <c r="I156" s="104"/>
      <c r="J156" s="104"/>
      <c r="K156" s="104"/>
      <c r="L156" s="104"/>
      <c r="M156" s="104"/>
    </row>
    <row r="157" spans="1:13" s="360" customFormat="1" ht="12.75">
      <c r="A157" s="357"/>
      <c r="B157" s="358"/>
      <c r="C157" s="104"/>
      <c r="D157" s="104"/>
      <c r="E157" s="359"/>
      <c r="G157" s="105"/>
      <c r="H157" s="104"/>
      <c r="I157" s="104"/>
      <c r="J157" s="104"/>
      <c r="K157" s="104"/>
      <c r="L157" s="104"/>
      <c r="M157" s="104"/>
    </row>
    <row r="158" spans="1:13" s="360" customFormat="1" ht="12.75">
      <c r="A158" s="357"/>
      <c r="B158" s="358"/>
      <c r="C158" s="104"/>
      <c r="D158" s="104"/>
      <c r="E158" s="359"/>
      <c r="G158" s="105"/>
      <c r="H158" s="104"/>
      <c r="I158" s="104"/>
      <c r="J158" s="104"/>
      <c r="K158" s="104"/>
      <c r="L158" s="104"/>
      <c r="M158" s="104"/>
    </row>
  </sheetData>
  <mergeCells count="1">
    <mergeCell ref="C3:D3"/>
  </mergeCells>
  <printOptions/>
  <pageMargins left="0.4724409448818898" right="0.31496062992125984" top="0.6692913385826772" bottom="0.9448818897637796" header="0.4724409448818898" footer="0.4724409448818898"/>
  <pageSetup fitToHeight="99" horizontalDpi="600" verticalDpi="600" orientation="portrait" paperSize="9" scale="80" r:id="rId1"/>
  <headerFooter alignWithMargins="0">
    <oddFooter>&amp;L&amp;F
&amp;A&amp;C&amp;P/&amp;N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FF33"/>
  </sheetPr>
  <dimension ref="A1:X271"/>
  <sheetViews>
    <sheetView showGridLines="0" view="pageBreakPreview" zoomScaleSheetLayoutView="100" workbookViewId="0" topLeftCell="A1">
      <selection activeCell="G6" sqref="G6"/>
    </sheetView>
  </sheetViews>
  <sheetFormatPr defaultColWidth="9.140625" defaultRowHeight="12.75"/>
  <cols>
    <col min="1" max="1" width="6.8515625" style="357" customWidth="1"/>
    <col min="2" max="2" width="15.140625" style="358" customWidth="1"/>
    <col min="3" max="3" width="47.8515625" style="104" customWidth="1"/>
    <col min="4" max="4" width="10.28125" style="104" customWidth="1"/>
    <col min="5" max="5" width="10.8515625" style="361" customWidth="1"/>
    <col min="6" max="6" width="11.421875" style="360" customWidth="1"/>
    <col min="7" max="7" width="18.140625" style="105" customWidth="1"/>
    <col min="8" max="18" width="9.140625" style="104" customWidth="1"/>
    <col min="19" max="19" width="9.28125" style="104" bestFit="1" customWidth="1"/>
    <col min="20" max="20" width="11.00390625" style="104" bestFit="1" customWidth="1"/>
    <col min="21" max="24" width="9.28125" style="104" bestFit="1" customWidth="1"/>
    <col min="25" max="16384" width="9.140625" style="104" customWidth="1"/>
  </cols>
  <sheetData>
    <row r="1" spans="1:7" s="39" customFormat="1" ht="57" customHeight="1">
      <c r="A1" s="387" t="s">
        <v>0</v>
      </c>
      <c r="B1" s="388"/>
      <c r="C1" s="389" t="s">
        <v>84</v>
      </c>
      <c r="D1" s="390"/>
      <c r="E1" s="390"/>
      <c r="F1" s="391"/>
      <c r="G1" s="392" t="s">
        <v>1</v>
      </c>
    </row>
    <row r="2" spans="1:7" s="88" customFormat="1" ht="29.25" customHeight="1">
      <c r="A2" s="394" t="s">
        <v>2</v>
      </c>
      <c r="B2" s="395"/>
      <c r="C2" s="520" t="s">
        <v>103</v>
      </c>
      <c r="D2" s="102"/>
      <c r="E2" s="396"/>
      <c r="F2" s="397"/>
      <c r="G2" s="398" t="s">
        <v>3</v>
      </c>
    </row>
    <row r="3" spans="1:7" s="405" customFormat="1" ht="70.5" customHeight="1">
      <c r="A3" s="394" t="s">
        <v>4</v>
      </c>
      <c r="B3" s="395"/>
      <c r="C3" s="657" t="s">
        <v>178</v>
      </c>
      <c r="D3" s="658"/>
      <c r="E3" s="400"/>
      <c r="F3" s="401"/>
      <c r="G3" s="1" t="s">
        <v>237</v>
      </c>
    </row>
    <row r="4" spans="1:7" s="286" customFormat="1" ht="24" customHeight="1">
      <c r="A4" s="518"/>
      <c r="B4" s="107" t="s">
        <v>875</v>
      </c>
      <c r="C4" s="108" t="s">
        <v>388</v>
      </c>
      <c r="D4" s="109"/>
      <c r="E4" s="407"/>
      <c r="F4" s="110"/>
      <c r="G4" s="111"/>
    </row>
    <row r="5" spans="1:7" ht="5.25" customHeight="1" thickBot="1">
      <c r="A5" s="113"/>
      <c r="B5" s="114"/>
      <c r="C5" s="115"/>
      <c r="D5" s="115"/>
      <c r="E5" s="116"/>
      <c r="F5" s="117"/>
      <c r="G5" s="118"/>
    </row>
    <row r="6" spans="1:7" s="128" customFormat="1" ht="51.75" customHeight="1" thickBot="1">
      <c r="A6" s="120" t="s">
        <v>5</v>
      </c>
      <c r="B6" s="121"/>
      <c r="C6" s="122" t="s">
        <v>6</v>
      </c>
      <c r="D6" s="123" t="s">
        <v>7</v>
      </c>
      <c r="E6" s="124" t="s">
        <v>8</v>
      </c>
      <c r="F6" s="125" t="s">
        <v>9</v>
      </c>
      <c r="G6" s="126" t="s">
        <v>10</v>
      </c>
    </row>
    <row r="7" spans="1:7" s="139" customFormat="1" ht="24" customHeight="1" thickTop="1">
      <c r="A7" s="130"/>
      <c r="B7" s="131"/>
      <c r="C7" s="132" t="s">
        <v>11</v>
      </c>
      <c r="D7" s="133"/>
      <c r="E7" s="134"/>
      <c r="F7" s="135"/>
      <c r="G7" s="136"/>
    </row>
    <row r="8" spans="1:7" s="139" customFormat="1" ht="12" customHeight="1">
      <c r="A8" s="130"/>
      <c r="B8" s="131"/>
      <c r="C8" s="229"/>
      <c r="D8" s="133"/>
      <c r="E8" s="134"/>
      <c r="F8" s="135"/>
      <c r="G8" s="136"/>
    </row>
    <row r="9" spans="1:7" s="9" customFormat="1" ht="6" customHeight="1">
      <c r="A9" s="2"/>
      <c r="B9" s="3"/>
      <c r="C9" s="4"/>
      <c r="D9" s="5"/>
      <c r="E9" s="5"/>
      <c r="F9" s="5"/>
      <c r="G9" s="6"/>
    </row>
    <row r="10" spans="1:7" s="128" customFormat="1" ht="10.5" customHeight="1">
      <c r="A10" s="141"/>
      <c r="B10" s="142"/>
      <c r="C10" s="11"/>
      <c r="D10" s="143"/>
      <c r="E10" s="144"/>
      <c r="F10" s="145"/>
      <c r="G10" s="146"/>
    </row>
    <row r="11" spans="1:7" s="99" customFormat="1" ht="18" customHeight="1">
      <c r="A11" s="147"/>
      <c r="B11" s="148"/>
      <c r="C11" s="149" t="s">
        <v>12</v>
      </c>
      <c r="D11" s="150"/>
      <c r="E11" s="151"/>
      <c r="F11" s="152"/>
      <c r="G11" s="153"/>
    </row>
    <row r="12" spans="1:7" s="161" customFormat="1" ht="10.5" customHeight="1">
      <c r="A12" s="147"/>
      <c r="B12" s="154"/>
      <c r="C12" s="155"/>
      <c r="D12" s="156"/>
      <c r="E12" s="157"/>
      <c r="F12" s="158"/>
      <c r="G12" s="159"/>
    </row>
    <row r="13" spans="1:7" s="9" customFormat="1" ht="6" customHeight="1">
      <c r="A13" s="2"/>
      <c r="B13" s="3"/>
      <c r="C13" s="4"/>
      <c r="D13" s="5"/>
      <c r="E13" s="5"/>
      <c r="F13" s="5"/>
      <c r="G13" s="6"/>
    </row>
    <row r="14" spans="1:7" s="161" customFormat="1" ht="18" customHeight="1">
      <c r="A14" s="147"/>
      <c r="B14" s="154"/>
      <c r="C14" s="155"/>
      <c r="D14" s="156"/>
      <c r="E14" s="157"/>
      <c r="F14" s="158"/>
      <c r="G14" s="159"/>
    </row>
    <row r="15" spans="1:7" s="171" customFormat="1" ht="18" customHeight="1">
      <c r="A15" s="163" t="str">
        <f>A24</f>
        <v>1</v>
      </c>
      <c r="B15" s="164" t="s">
        <v>13</v>
      </c>
      <c r="C15" s="166" t="str">
        <f>C24</f>
        <v>Kácení stromů, odstraňování keřů</v>
      </c>
      <c r="D15" s="167"/>
      <c r="E15" s="168"/>
      <c r="F15" s="169"/>
      <c r="G15" s="165">
        <f>G36</f>
        <v>0</v>
      </c>
    </row>
    <row r="16" spans="1:7" s="171" customFormat="1" ht="18" customHeight="1">
      <c r="A16" s="163" t="str">
        <f>A38</f>
        <v>2</v>
      </c>
      <c r="B16" s="164">
        <f>B38</f>
        <v>0</v>
      </c>
      <c r="C16" s="166" t="str">
        <f>C38</f>
        <v xml:space="preserve">Ošetření ponechaných stromů </v>
      </c>
      <c r="D16" s="167"/>
      <c r="E16" s="168"/>
      <c r="F16" s="169"/>
      <c r="G16" s="165">
        <f>G46</f>
        <v>0</v>
      </c>
    </row>
    <row r="17" spans="1:7" s="171" customFormat="1" ht="18" customHeight="1">
      <c r="A17" s="163" t="str">
        <f>A48</f>
        <v>3</v>
      </c>
      <c r="B17" s="164">
        <f>B48</f>
        <v>0</v>
      </c>
      <c r="C17" s="166" t="str">
        <f>C48</f>
        <v>Práce, výsadby, trávník</v>
      </c>
      <c r="D17" s="167"/>
      <c r="E17" s="168"/>
      <c r="F17" s="169"/>
      <c r="G17" s="165">
        <f>G94</f>
        <v>0</v>
      </c>
    </row>
    <row r="18" spans="1:7" s="161" customFormat="1" ht="18" customHeight="1">
      <c r="A18" s="163" t="str">
        <f>A96</f>
        <v>4</v>
      </c>
      <c r="B18" s="164">
        <f>B96</f>
        <v>0</v>
      </c>
      <c r="C18" s="155" t="str">
        <f>C96</f>
        <v>Materiál</v>
      </c>
      <c r="D18" s="156"/>
      <c r="E18" s="157"/>
      <c r="F18" s="158"/>
      <c r="G18" s="159">
        <f>G181</f>
        <v>0</v>
      </c>
    </row>
    <row r="19" spans="1:7" s="161" customFormat="1" ht="18" customHeight="1">
      <c r="A19" s="163" t="str">
        <f>A183</f>
        <v>5</v>
      </c>
      <c r="B19" s="164">
        <f>B183</f>
        <v>0</v>
      </c>
      <c r="C19" s="155" t="str">
        <f>C183</f>
        <v>Ostatní materiál</v>
      </c>
      <c r="D19" s="156"/>
      <c r="E19" s="157"/>
      <c r="F19" s="158"/>
      <c r="G19" s="159">
        <f>G200</f>
        <v>0</v>
      </c>
    </row>
    <row r="20" spans="1:7" s="161" customFormat="1" ht="18" customHeight="1">
      <c r="A20" s="163" t="str">
        <f>A202</f>
        <v>6</v>
      </c>
      <c r="B20" s="164">
        <f>$B$202</f>
        <v>0</v>
      </c>
      <c r="C20" s="155" t="str">
        <f>C202</f>
        <v>Ostatní</v>
      </c>
      <c r="D20" s="156"/>
      <c r="E20" s="157"/>
      <c r="F20" s="158"/>
      <c r="G20" s="159">
        <f>G206</f>
        <v>0</v>
      </c>
    </row>
    <row r="21" spans="1:7" s="99" customFormat="1" ht="18" customHeight="1" thickBot="1">
      <c r="A21" s="180"/>
      <c r="B21" s="181"/>
      <c r="C21" s="182"/>
      <c r="D21" s="182"/>
      <c r="E21" s="183"/>
      <c r="F21" s="184"/>
      <c r="G21" s="185"/>
    </row>
    <row r="22" spans="1:7" s="194" customFormat="1" ht="23.25" customHeight="1" thickBot="1">
      <c r="A22" s="186"/>
      <c r="B22" s="187"/>
      <c r="C22" s="188" t="s">
        <v>14</v>
      </c>
      <c r="D22" s="188"/>
      <c r="E22" s="189"/>
      <c r="F22" s="190"/>
      <c r="G22" s="191">
        <f>SUM(G15:G21)</f>
        <v>0</v>
      </c>
    </row>
    <row r="23" spans="1:7" ht="13.5" customHeight="1" thickBot="1">
      <c r="A23" s="196"/>
      <c r="B23" s="197"/>
      <c r="C23" s="198"/>
      <c r="D23" s="198"/>
      <c r="E23" s="199"/>
      <c r="F23" s="200"/>
      <c r="G23" s="201"/>
    </row>
    <row r="24" spans="1:7" s="210" customFormat="1" ht="16.5" customHeight="1" thickBot="1">
      <c r="A24" s="202" t="s">
        <v>15</v>
      </c>
      <c r="B24" s="203"/>
      <c r="C24" s="204" t="s">
        <v>389</v>
      </c>
      <c r="D24" s="205"/>
      <c r="E24" s="206"/>
      <c r="F24" s="207"/>
      <c r="G24" s="208"/>
    </row>
    <row r="25" spans="1:7" s="256" customFormat="1" ht="12.75">
      <c r="A25" s="248"/>
      <c r="B25" s="249"/>
      <c r="C25" s="250"/>
      <c r="D25" s="251"/>
      <c r="E25" s="215"/>
      <c r="F25" s="252"/>
      <c r="G25" s="253"/>
    </row>
    <row r="26" spans="1:7" s="21" customFormat="1" ht="69.75" customHeight="1">
      <c r="A26" s="12" t="s">
        <v>136</v>
      </c>
      <c r="B26" s="13" t="s">
        <v>390</v>
      </c>
      <c r="C26" s="14" t="s">
        <v>391</v>
      </c>
      <c r="D26" s="15" t="s">
        <v>18</v>
      </c>
      <c r="E26" s="16">
        <v>20</v>
      </c>
      <c r="F26" s="17"/>
      <c r="G26" s="18">
        <f>$E26*F26</f>
        <v>0</v>
      </c>
    </row>
    <row r="27" spans="1:7" s="21" customFormat="1" ht="69.75" customHeight="1">
      <c r="A27" s="12" t="s">
        <v>137</v>
      </c>
      <c r="B27" s="13" t="s">
        <v>392</v>
      </c>
      <c r="C27" s="14" t="s">
        <v>393</v>
      </c>
      <c r="D27" s="15" t="s">
        <v>20</v>
      </c>
      <c r="E27" s="16">
        <v>2</v>
      </c>
      <c r="F27" s="17"/>
      <c r="G27" s="18">
        <f aca="true" t="shared" si="0" ref="G27:G34">$E27*F27</f>
        <v>0</v>
      </c>
    </row>
    <row r="28" spans="1:7" s="21" customFormat="1" ht="69.75" customHeight="1">
      <c r="A28" s="12" t="s">
        <v>138</v>
      </c>
      <c r="B28" s="13" t="s">
        <v>394</v>
      </c>
      <c r="C28" s="14" t="s">
        <v>395</v>
      </c>
      <c r="D28" s="15" t="s">
        <v>20</v>
      </c>
      <c r="E28" s="16">
        <v>7</v>
      </c>
      <c r="F28" s="17"/>
      <c r="G28" s="18">
        <f t="shared" si="0"/>
        <v>0</v>
      </c>
    </row>
    <row r="29" spans="1:7" s="21" customFormat="1" ht="69.75" customHeight="1">
      <c r="A29" s="12" t="s">
        <v>139</v>
      </c>
      <c r="B29" s="13" t="s">
        <v>396</v>
      </c>
      <c r="C29" s="14" t="s">
        <v>397</v>
      </c>
      <c r="D29" s="15" t="s">
        <v>20</v>
      </c>
      <c r="E29" s="16">
        <v>5</v>
      </c>
      <c r="F29" s="17"/>
      <c r="G29" s="18">
        <f t="shared" si="0"/>
        <v>0</v>
      </c>
    </row>
    <row r="30" spans="1:7" s="21" customFormat="1" ht="69.75" customHeight="1">
      <c r="A30" s="12" t="s">
        <v>140</v>
      </c>
      <c r="B30" s="13" t="s">
        <v>398</v>
      </c>
      <c r="C30" s="14" t="s">
        <v>399</v>
      </c>
      <c r="D30" s="15" t="s">
        <v>20</v>
      </c>
      <c r="E30" s="16">
        <v>4</v>
      </c>
      <c r="F30" s="17"/>
      <c r="G30" s="18">
        <f t="shared" si="0"/>
        <v>0</v>
      </c>
    </row>
    <row r="31" spans="1:7" s="21" customFormat="1" ht="69.75" customHeight="1">
      <c r="A31" s="12" t="s">
        <v>141</v>
      </c>
      <c r="B31" s="13" t="s">
        <v>400</v>
      </c>
      <c r="C31" s="14" t="s">
        <v>401</v>
      </c>
      <c r="D31" s="15" t="s">
        <v>20</v>
      </c>
      <c r="E31" s="16">
        <v>7</v>
      </c>
      <c r="F31" s="17"/>
      <c r="G31" s="18">
        <f t="shared" si="0"/>
        <v>0</v>
      </c>
    </row>
    <row r="32" spans="1:7" s="21" customFormat="1" ht="84" customHeight="1">
      <c r="A32" s="12" t="s">
        <v>192</v>
      </c>
      <c r="B32" s="13" t="s">
        <v>402</v>
      </c>
      <c r="C32" s="14" t="s">
        <v>403</v>
      </c>
      <c r="D32" s="15" t="s">
        <v>20</v>
      </c>
      <c r="E32" s="16">
        <v>5</v>
      </c>
      <c r="F32" s="17"/>
      <c r="G32" s="18">
        <f t="shared" si="0"/>
        <v>0</v>
      </c>
    </row>
    <row r="33" spans="1:7" s="21" customFormat="1" ht="81" customHeight="1">
      <c r="A33" s="12" t="s">
        <v>196</v>
      </c>
      <c r="B33" s="13" t="s">
        <v>404</v>
      </c>
      <c r="C33" s="14" t="s">
        <v>405</v>
      </c>
      <c r="D33" s="15" t="s">
        <v>20</v>
      </c>
      <c r="E33" s="16">
        <v>4</v>
      </c>
      <c r="F33" s="17"/>
      <c r="G33" s="18">
        <f t="shared" si="0"/>
        <v>0</v>
      </c>
    </row>
    <row r="34" spans="1:7" s="21" customFormat="1" ht="20.25" customHeight="1">
      <c r="A34" s="12" t="s">
        <v>200</v>
      </c>
      <c r="B34" s="13" t="s">
        <v>406</v>
      </c>
      <c r="C34" s="14" t="s">
        <v>407</v>
      </c>
      <c r="D34" s="15" t="s">
        <v>228</v>
      </c>
      <c r="E34" s="16">
        <v>1</v>
      </c>
      <c r="F34" s="17"/>
      <c r="G34" s="18">
        <f t="shared" si="0"/>
        <v>0</v>
      </c>
    </row>
    <row r="35" spans="1:7" s="50" customFormat="1" ht="11.25" customHeight="1" thickBot="1">
      <c r="A35" s="12"/>
      <c r="B35" s="53"/>
      <c r="C35" s="266"/>
      <c r="D35" s="54"/>
      <c r="E35" s="55"/>
      <c r="F35" s="56"/>
      <c r="G35" s="57"/>
    </row>
    <row r="36" spans="1:7" s="99" customFormat="1" ht="16.5" customHeight="1" thickBot="1">
      <c r="A36" s="237"/>
      <c r="B36" s="238"/>
      <c r="C36" s="239" t="s">
        <v>24</v>
      </c>
      <c r="D36" s="240"/>
      <c r="E36" s="241"/>
      <c r="F36" s="242"/>
      <c r="G36" s="243">
        <f>SUBTOTAL(9,G25:G35)</f>
        <v>0</v>
      </c>
    </row>
    <row r="37" spans="1:7" s="99" customFormat="1" ht="13.5" customHeight="1" thickBot="1">
      <c r="A37" s="244"/>
      <c r="B37" s="245"/>
      <c r="C37" s="246"/>
      <c r="D37" s="246"/>
      <c r="E37" s="247"/>
      <c r="F37" s="200"/>
      <c r="G37" s="201"/>
    </row>
    <row r="38" spans="1:7" s="210" customFormat="1" ht="16.5" customHeight="1" thickBot="1">
      <c r="A38" s="202" t="s">
        <v>25</v>
      </c>
      <c r="B38" s="203"/>
      <c r="C38" s="204" t="s">
        <v>408</v>
      </c>
      <c r="D38" s="205"/>
      <c r="E38" s="206"/>
      <c r="F38" s="207"/>
      <c r="G38" s="208"/>
    </row>
    <row r="39" spans="1:7" s="256" customFormat="1" ht="12.75">
      <c r="A39" s="248"/>
      <c r="B39" s="249"/>
      <c r="C39" s="250"/>
      <c r="D39" s="251"/>
      <c r="E39" s="215"/>
      <c r="F39" s="252"/>
      <c r="G39" s="253"/>
    </row>
    <row r="40" spans="1:7" s="171" customFormat="1" ht="60" customHeight="1">
      <c r="A40" s="363" t="s">
        <v>142</v>
      </c>
      <c r="B40" s="344" t="s">
        <v>409</v>
      </c>
      <c r="C40" s="366" t="s">
        <v>412</v>
      </c>
      <c r="D40" s="15" t="s">
        <v>228</v>
      </c>
      <c r="E40" s="16">
        <v>1</v>
      </c>
      <c r="F40" s="368"/>
      <c r="G40" s="18">
        <f aca="true" t="shared" si="1" ref="G40:G44">$E40*F40</f>
        <v>0</v>
      </c>
    </row>
    <row r="41" spans="1:7" s="373" customFormat="1" ht="60" customHeight="1">
      <c r="A41" s="364" t="s">
        <v>143</v>
      </c>
      <c r="B41" s="365" t="s">
        <v>410</v>
      </c>
      <c r="C41" s="366" t="s">
        <v>413</v>
      </c>
      <c r="D41" s="15" t="s">
        <v>228</v>
      </c>
      <c r="E41" s="16">
        <v>1</v>
      </c>
      <c r="F41" s="368"/>
      <c r="G41" s="18">
        <f t="shared" si="1"/>
        <v>0</v>
      </c>
    </row>
    <row r="42" spans="1:7" s="373" customFormat="1" ht="60" customHeight="1">
      <c r="A42" s="364" t="s">
        <v>26</v>
      </c>
      <c r="B42" s="365" t="s">
        <v>411</v>
      </c>
      <c r="C42" s="366" t="s">
        <v>414</v>
      </c>
      <c r="D42" s="15" t="s">
        <v>228</v>
      </c>
      <c r="E42" s="16">
        <v>1</v>
      </c>
      <c r="F42" s="368"/>
      <c r="G42" s="18">
        <f t="shared" si="1"/>
        <v>0</v>
      </c>
    </row>
    <row r="43" spans="1:7" s="262" customFormat="1" ht="39" customHeight="1">
      <c r="A43" s="364" t="s">
        <v>144</v>
      </c>
      <c r="B43" s="227" t="s">
        <v>406</v>
      </c>
      <c r="C43" s="259" t="s">
        <v>415</v>
      </c>
      <c r="D43" s="15" t="s">
        <v>228</v>
      </c>
      <c r="E43" s="16">
        <v>1</v>
      </c>
      <c r="F43" s="228"/>
      <c r="G43" s="18">
        <f t="shared" si="1"/>
        <v>0</v>
      </c>
    </row>
    <row r="44" spans="1:7" s="262" customFormat="1" ht="16.5" customHeight="1">
      <c r="A44" s="364" t="s">
        <v>145</v>
      </c>
      <c r="B44" s="227" t="s">
        <v>406</v>
      </c>
      <c r="C44" s="259" t="s">
        <v>407</v>
      </c>
      <c r="D44" s="15" t="s">
        <v>228</v>
      </c>
      <c r="E44" s="16">
        <v>1</v>
      </c>
      <c r="F44" s="228"/>
      <c r="G44" s="18">
        <f t="shared" si="1"/>
        <v>0</v>
      </c>
    </row>
    <row r="45" spans="1:7" s="256" customFormat="1" ht="13.5" thickBot="1">
      <c r="A45" s="270"/>
      <c r="B45" s="271"/>
      <c r="C45" s="272"/>
      <c r="D45" s="273"/>
      <c r="E45" s="236"/>
      <c r="F45" s="274"/>
      <c r="G45" s="275"/>
    </row>
    <row r="46" spans="1:7" s="99" customFormat="1" ht="16.5" customHeight="1" thickBot="1">
      <c r="A46" s="237"/>
      <c r="B46" s="238"/>
      <c r="C46" s="239" t="s">
        <v>24</v>
      </c>
      <c r="D46" s="276"/>
      <c r="E46" s="277"/>
      <c r="F46" s="278"/>
      <c r="G46" s="243">
        <f>SUBTOTAL(9,G39:G45)</f>
        <v>0</v>
      </c>
    </row>
    <row r="47" spans="1:7" s="99" customFormat="1" ht="13.5" customHeight="1" thickBot="1">
      <c r="A47" s="244"/>
      <c r="B47" s="245"/>
      <c r="C47" s="246"/>
      <c r="D47" s="279"/>
      <c r="E47" s="280"/>
      <c r="F47" s="281"/>
      <c r="G47" s="201"/>
    </row>
    <row r="48" spans="1:7" s="210" customFormat="1" ht="16.5" customHeight="1" thickBot="1">
      <c r="A48" s="202" t="s">
        <v>13</v>
      </c>
      <c r="B48" s="203"/>
      <c r="C48" s="204" t="s">
        <v>416</v>
      </c>
      <c r="D48" s="205"/>
      <c r="E48" s="206"/>
      <c r="F48" s="207"/>
      <c r="G48" s="208"/>
    </row>
    <row r="49" spans="1:7" s="79" customFormat="1" ht="12.75">
      <c r="A49" s="70"/>
      <c r="B49" s="71"/>
      <c r="C49" s="72"/>
      <c r="D49" s="73"/>
      <c r="E49" s="74"/>
      <c r="F49" s="75"/>
      <c r="G49" s="76"/>
    </row>
    <row r="50" spans="1:7" s="59" customFormat="1" ht="33" customHeight="1">
      <c r="A50" s="12" t="s">
        <v>28</v>
      </c>
      <c r="B50" s="33" t="s">
        <v>406</v>
      </c>
      <c r="C50" s="14" t="s">
        <v>417</v>
      </c>
      <c r="D50" s="260" t="s">
        <v>18</v>
      </c>
      <c r="E50" s="16">
        <v>190</v>
      </c>
      <c r="F50" s="17"/>
      <c r="G50" s="18">
        <f>$E50*F50</f>
        <v>0</v>
      </c>
    </row>
    <row r="51" spans="1:7" s="59" customFormat="1" ht="33" customHeight="1">
      <c r="A51" s="12" t="s">
        <v>29</v>
      </c>
      <c r="B51" s="33" t="s">
        <v>418</v>
      </c>
      <c r="C51" s="14" t="s">
        <v>419</v>
      </c>
      <c r="D51" s="260" t="s">
        <v>18</v>
      </c>
      <c r="E51" s="16">
        <v>266</v>
      </c>
      <c r="F51" s="17"/>
      <c r="G51" s="18">
        <f aca="true" t="shared" si="2" ref="G51:G84">$E51*F51</f>
        <v>0</v>
      </c>
    </row>
    <row r="52" spans="1:7" s="59" customFormat="1" ht="33" customHeight="1">
      <c r="A52" s="12" t="s">
        <v>30</v>
      </c>
      <c r="B52" s="33" t="s">
        <v>420</v>
      </c>
      <c r="C52" s="14" t="s">
        <v>421</v>
      </c>
      <c r="D52" s="260" t="s">
        <v>18</v>
      </c>
      <c r="E52" s="16">
        <v>57</v>
      </c>
      <c r="F52" s="17"/>
      <c r="G52" s="18">
        <f t="shared" si="2"/>
        <v>0</v>
      </c>
    </row>
    <row r="53" spans="1:7" s="59" customFormat="1" ht="33" customHeight="1">
      <c r="A53" s="12" t="s">
        <v>31</v>
      </c>
      <c r="B53" s="33" t="s">
        <v>422</v>
      </c>
      <c r="C53" s="14" t="s">
        <v>423</v>
      </c>
      <c r="D53" s="260" t="s">
        <v>18</v>
      </c>
      <c r="E53" s="16">
        <v>57</v>
      </c>
      <c r="F53" s="17"/>
      <c r="G53" s="18">
        <f t="shared" si="2"/>
        <v>0</v>
      </c>
    </row>
    <row r="54" spans="1:7" s="59" customFormat="1" ht="18" customHeight="1">
      <c r="A54" s="12" t="s">
        <v>32</v>
      </c>
      <c r="B54" s="33" t="s">
        <v>424</v>
      </c>
      <c r="C54" s="14" t="s">
        <v>425</v>
      </c>
      <c r="D54" s="260" t="s">
        <v>18</v>
      </c>
      <c r="E54" s="16">
        <v>380</v>
      </c>
      <c r="F54" s="17"/>
      <c r="G54" s="18">
        <f t="shared" si="2"/>
        <v>0</v>
      </c>
    </row>
    <row r="55" spans="1:7" s="59" customFormat="1" ht="18" customHeight="1">
      <c r="A55" s="12" t="s">
        <v>33</v>
      </c>
      <c r="B55" s="33" t="s">
        <v>426</v>
      </c>
      <c r="C55" s="14" t="s">
        <v>427</v>
      </c>
      <c r="D55" s="260" t="s">
        <v>18</v>
      </c>
      <c r="E55" s="16">
        <v>168.5</v>
      </c>
      <c r="F55" s="17"/>
      <c r="G55" s="18">
        <f t="shared" si="2"/>
        <v>0</v>
      </c>
    </row>
    <row r="56" spans="1:7" s="59" customFormat="1" ht="18" customHeight="1">
      <c r="A56" s="12" t="s">
        <v>34</v>
      </c>
      <c r="B56" s="33" t="s">
        <v>428</v>
      </c>
      <c r="C56" s="14" t="s">
        <v>429</v>
      </c>
      <c r="D56" s="260" t="s">
        <v>18</v>
      </c>
      <c r="E56" s="16">
        <v>21.5</v>
      </c>
      <c r="F56" s="17"/>
      <c r="G56" s="18">
        <f t="shared" si="2"/>
        <v>0</v>
      </c>
    </row>
    <row r="57" spans="1:7" s="59" customFormat="1" ht="18" customHeight="1">
      <c r="A57" s="12"/>
      <c r="B57" s="33"/>
      <c r="C57" s="594" t="s">
        <v>487</v>
      </c>
      <c r="D57" s="260"/>
      <c r="E57" s="16"/>
      <c r="F57" s="17"/>
      <c r="G57" s="18"/>
    </row>
    <row r="58" spans="1:7" s="59" customFormat="1" ht="57" customHeight="1">
      <c r="A58" s="12" t="s">
        <v>35</v>
      </c>
      <c r="B58" s="33" t="s">
        <v>430</v>
      </c>
      <c r="C58" s="14" t="s">
        <v>431</v>
      </c>
      <c r="D58" s="260" t="s">
        <v>20</v>
      </c>
      <c r="E58" s="16">
        <v>16</v>
      </c>
      <c r="F58" s="17"/>
      <c r="G58" s="18">
        <f t="shared" si="2"/>
        <v>0</v>
      </c>
    </row>
    <row r="59" spans="1:7" s="59" customFormat="1" ht="57" customHeight="1">
      <c r="A59" s="12" t="s">
        <v>37</v>
      </c>
      <c r="B59" s="33" t="s">
        <v>432</v>
      </c>
      <c r="C59" s="14" t="s">
        <v>433</v>
      </c>
      <c r="D59" s="260" t="s">
        <v>20</v>
      </c>
      <c r="E59" s="16">
        <v>83</v>
      </c>
      <c r="F59" s="17"/>
      <c r="G59" s="18">
        <f t="shared" si="2"/>
        <v>0</v>
      </c>
    </row>
    <row r="60" spans="1:7" s="59" customFormat="1" ht="57" customHeight="1">
      <c r="A60" s="12" t="s">
        <v>221</v>
      </c>
      <c r="B60" s="33" t="s">
        <v>432</v>
      </c>
      <c r="C60" s="14" t="s">
        <v>434</v>
      </c>
      <c r="D60" s="260" t="s">
        <v>20</v>
      </c>
      <c r="E60" s="16">
        <v>32</v>
      </c>
      <c r="F60" s="17"/>
      <c r="G60" s="18">
        <f t="shared" si="2"/>
        <v>0</v>
      </c>
    </row>
    <row r="61" spans="1:7" s="59" customFormat="1" ht="57" customHeight="1">
      <c r="A61" s="12" t="s">
        <v>222</v>
      </c>
      <c r="B61" s="33" t="s">
        <v>435</v>
      </c>
      <c r="C61" s="14" t="s">
        <v>436</v>
      </c>
      <c r="D61" s="260" t="s">
        <v>20</v>
      </c>
      <c r="E61" s="16">
        <v>435</v>
      </c>
      <c r="F61" s="17"/>
      <c r="G61" s="18">
        <f t="shared" si="2"/>
        <v>0</v>
      </c>
    </row>
    <row r="62" spans="1:7" s="59" customFormat="1" ht="57" customHeight="1">
      <c r="A62" s="12" t="s">
        <v>225</v>
      </c>
      <c r="B62" s="33" t="s">
        <v>437</v>
      </c>
      <c r="C62" s="14" t="s">
        <v>438</v>
      </c>
      <c r="D62" s="260" t="s">
        <v>20</v>
      </c>
      <c r="E62" s="16">
        <v>417</v>
      </c>
      <c r="F62" s="17"/>
      <c r="G62" s="18">
        <f t="shared" si="2"/>
        <v>0</v>
      </c>
    </row>
    <row r="63" spans="1:7" s="59" customFormat="1" ht="18" customHeight="1">
      <c r="A63" s="12"/>
      <c r="B63" s="33"/>
      <c r="C63" s="600" t="s">
        <v>486</v>
      </c>
      <c r="D63" s="260"/>
      <c r="E63" s="16"/>
      <c r="F63" s="17"/>
      <c r="G63" s="18"/>
    </row>
    <row r="64" spans="1:7" s="59" customFormat="1" ht="46.5" customHeight="1">
      <c r="A64" s="12" t="s">
        <v>751</v>
      </c>
      <c r="B64" s="33" t="s">
        <v>439</v>
      </c>
      <c r="C64" s="14" t="s">
        <v>440</v>
      </c>
      <c r="D64" s="260" t="s">
        <v>20</v>
      </c>
      <c r="E64" s="16">
        <v>16</v>
      </c>
      <c r="F64" s="17"/>
      <c r="G64" s="18">
        <f t="shared" si="2"/>
        <v>0</v>
      </c>
    </row>
    <row r="65" spans="1:7" s="59" customFormat="1" ht="46.5" customHeight="1">
      <c r="A65" s="12" t="s">
        <v>752</v>
      </c>
      <c r="B65" s="33" t="s">
        <v>441</v>
      </c>
      <c r="C65" s="14" t="s">
        <v>442</v>
      </c>
      <c r="D65" s="260" t="s">
        <v>20</v>
      </c>
      <c r="E65" s="16">
        <v>115</v>
      </c>
      <c r="F65" s="17"/>
      <c r="G65" s="18">
        <f t="shared" si="2"/>
        <v>0</v>
      </c>
    </row>
    <row r="66" spans="1:7" s="59" customFormat="1" ht="46.5" customHeight="1">
      <c r="A66" s="12" t="s">
        <v>753</v>
      </c>
      <c r="B66" s="33" t="s">
        <v>443</v>
      </c>
      <c r="C66" s="14" t="s">
        <v>444</v>
      </c>
      <c r="D66" s="260" t="s">
        <v>20</v>
      </c>
      <c r="E66" s="16">
        <v>417</v>
      </c>
      <c r="F66" s="17"/>
      <c r="G66" s="18">
        <f t="shared" si="2"/>
        <v>0</v>
      </c>
    </row>
    <row r="67" spans="1:7" s="59" customFormat="1" ht="35.25" customHeight="1">
      <c r="A67" s="12" t="s">
        <v>754</v>
      </c>
      <c r="B67" s="33" t="s">
        <v>406</v>
      </c>
      <c r="C67" s="14" t="s">
        <v>445</v>
      </c>
      <c r="D67" s="260" t="s">
        <v>20</v>
      </c>
      <c r="E67" s="16">
        <v>16</v>
      </c>
      <c r="F67" s="17"/>
      <c r="G67" s="18">
        <f t="shared" si="2"/>
        <v>0</v>
      </c>
    </row>
    <row r="68" spans="1:7" s="59" customFormat="1" ht="18" customHeight="1">
      <c r="A68" s="12" t="s">
        <v>755</v>
      </c>
      <c r="B68" s="33" t="s">
        <v>406</v>
      </c>
      <c r="C68" s="14" t="s">
        <v>446</v>
      </c>
      <c r="D68" s="260" t="s">
        <v>20</v>
      </c>
      <c r="E68" s="16">
        <v>16</v>
      </c>
      <c r="F68" s="17"/>
      <c r="G68" s="18">
        <f t="shared" si="2"/>
        <v>0</v>
      </c>
    </row>
    <row r="69" spans="1:7" s="59" customFormat="1" ht="42" customHeight="1">
      <c r="A69" s="12" t="s">
        <v>756</v>
      </c>
      <c r="B69" s="33" t="s">
        <v>447</v>
      </c>
      <c r="C69" s="14" t="s">
        <v>448</v>
      </c>
      <c r="D69" s="260" t="s">
        <v>20</v>
      </c>
      <c r="E69" s="16">
        <v>16</v>
      </c>
      <c r="F69" s="17"/>
      <c r="G69" s="18">
        <f t="shared" si="2"/>
        <v>0</v>
      </c>
    </row>
    <row r="70" spans="1:7" s="59" customFormat="1" ht="18" customHeight="1">
      <c r="A70" s="12" t="s">
        <v>757</v>
      </c>
      <c r="B70" s="33" t="s">
        <v>449</v>
      </c>
      <c r="C70" s="14" t="s">
        <v>450</v>
      </c>
      <c r="D70" s="260" t="s">
        <v>18</v>
      </c>
      <c r="E70" s="16">
        <v>16</v>
      </c>
      <c r="F70" s="17"/>
      <c r="G70" s="18">
        <f t="shared" si="2"/>
        <v>0</v>
      </c>
    </row>
    <row r="71" spans="1:7" s="59" customFormat="1" ht="18" customHeight="1">
      <c r="A71" s="12" t="s">
        <v>758</v>
      </c>
      <c r="B71" s="33" t="s">
        <v>451</v>
      </c>
      <c r="C71" s="14" t="s">
        <v>452</v>
      </c>
      <c r="D71" s="260" t="s">
        <v>20</v>
      </c>
      <c r="E71" s="16">
        <v>16</v>
      </c>
      <c r="F71" s="17"/>
      <c r="G71" s="18">
        <f t="shared" si="2"/>
        <v>0</v>
      </c>
    </row>
    <row r="72" spans="1:7" s="59" customFormat="1" ht="39.75" customHeight="1">
      <c r="A72" s="12" t="s">
        <v>759</v>
      </c>
      <c r="B72" s="33" t="s">
        <v>453</v>
      </c>
      <c r="C72" s="14" t="s">
        <v>454</v>
      </c>
      <c r="D72" s="260" t="s">
        <v>19</v>
      </c>
      <c r="E72" s="16">
        <v>11.276</v>
      </c>
      <c r="F72" s="17"/>
      <c r="G72" s="18">
        <f t="shared" si="2"/>
        <v>0</v>
      </c>
    </row>
    <row r="73" spans="1:7" s="59" customFormat="1" ht="39.75" customHeight="1">
      <c r="A73" s="12" t="s">
        <v>760</v>
      </c>
      <c r="B73" s="33" t="s">
        <v>455</v>
      </c>
      <c r="C73" s="14" t="s">
        <v>456</v>
      </c>
      <c r="D73" s="260" t="s">
        <v>19</v>
      </c>
      <c r="E73" s="16">
        <v>11.276</v>
      </c>
      <c r="F73" s="17"/>
      <c r="G73" s="18">
        <f t="shared" si="2"/>
        <v>0</v>
      </c>
    </row>
    <row r="74" spans="1:7" s="59" customFormat="1" ht="18" customHeight="1">
      <c r="A74" s="12" t="s">
        <v>761</v>
      </c>
      <c r="B74" s="33" t="s">
        <v>457</v>
      </c>
      <c r="C74" s="14" t="s">
        <v>458</v>
      </c>
      <c r="D74" s="260" t="s">
        <v>23</v>
      </c>
      <c r="E74" s="16">
        <v>0.0076</v>
      </c>
      <c r="F74" s="17"/>
      <c r="G74" s="18">
        <f t="shared" si="2"/>
        <v>0</v>
      </c>
    </row>
    <row r="75" spans="1:7" s="59" customFormat="1" ht="18" customHeight="1">
      <c r="A75" s="12" t="s">
        <v>762</v>
      </c>
      <c r="B75" s="33" t="s">
        <v>459</v>
      </c>
      <c r="C75" s="14" t="s">
        <v>460</v>
      </c>
      <c r="D75" s="260" t="s">
        <v>18</v>
      </c>
      <c r="E75" s="16">
        <v>7.5</v>
      </c>
      <c r="F75" s="17"/>
      <c r="G75" s="18">
        <f t="shared" si="2"/>
        <v>0</v>
      </c>
    </row>
    <row r="76" spans="1:7" s="59" customFormat="1" ht="18" customHeight="1">
      <c r="A76" s="12" t="s">
        <v>763</v>
      </c>
      <c r="B76" s="33" t="s">
        <v>461</v>
      </c>
      <c r="C76" s="14" t="s">
        <v>462</v>
      </c>
      <c r="D76" s="260" t="s">
        <v>18</v>
      </c>
      <c r="E76" s="16">
        <v>140.5</v>
      </c>
      <c r="F76" s="17"/>
      <c r="G76" s="18">
        <f t="shared" si="2"/>
        <v>0</v>
      </c>
    </row>
    <row r="77" spans="1:7" s="59" customFormat="1" ht="18" customHeight="1">
      <c r="A77" s="12" t="s">
        <v>764</v>
      </c>
      <c r="B77" s="33" t="s">
        <v>463</v>
      </c>
      <c r="C77" s="14" t="s">
        <v>464</v>
      </c>
      <c r="D77" s="260" t="s">
        <v>18</v>
      </c>
      <c r="E77" s="16">
        <v>38</v>
      </c>
      <c r="F77" s="17"/>
      <c r="G77" s="18">
        <f t="shared" si="2"/>
        <v>0</v>
      </c>
    </row>
    <row r="78" spans="1:7" s="59" customFormat="1" ht="18" customHeight="1">
      <c r="A78" s="12" t="s">
        <v>765</v>
      </c>
      <c r="B78" s="33" t="s">
        <v>465</v>
      </c>
      <c r="C78" s="14" t="s">
        <v>466</v>
      </c>
      <c r="D78" s="260" t="s">
        <v>18</v>
      </c>
      <c r="E78" s="16">
        <v>4</v>
      </c>
      <c r="F78" s="17"/>
      <c r="G78" s="18">
        <f t="shared" si="2"/>
        <v>0</v>
      </c>
    </row>
    <row r="79" spans="1:7" s="59" customFormat="1" ht="18" customHeight="1">
      <c r="A79" s="12" t="s">
        <v>766</v>
      </c>
      <c r="B79" s="33" t="s">
        <v>467</v>
      </c>
      <c r="C79" s="14" t="s">
        <v>468</v>
      </c>
      <c r="D79" s="260" t="s">
        <v>18</v>
      </c>
      <c r="E79" s="16">
        <v>38</v>
      </c>
      <c r="F79" s="17"/>
      <c r="G79" s="18">
        <f t="shared" si="2"/>
        <v>0</v>
      </c>
    </row>
    <row r="80" spans="1:7" s="59" customFormat="1" ht="18" customHeight="1">
      <c r="A80" s="12" t="s">
        <v>767</v>
      </c>
      <c r="B80" s="33" t="s">
        <v>469</v>
      </c>
      <c r="C80" s="14" t="s">
        <v>470</v>
      </c>
      <c r="D80" s="260" t="s">
        <v>18</v>
      </c>
      <c r="E80" s="16">
        <v>4</v>
      </c>
      <c r="F80" s="17"/>
      <c r="G80" s="18">
        <f t="shared" si="2"/>
        <v>0</v>
      </c>
    </row>
    <row r="81" spans="1:7" s="59" customFormat="1" ht="18" customHeight="1">
      <c r="A81" s="12" t="s">
        <v>768</v>
      </c>
      <c r="B81" s="33" t="s">
        <v>471</v>
      </c>
      <c r="C81" s="14" t="s">
        <v>472</v>
      </c>
      <c r="D81" s="260" t="s">
        <v>18</v>
      </c>
      <c r="E81" s="16">
        <v>130.5</v>
      </c>
      <c r="F81" s="17"/>
      <c r="G81" s="18">
        <f t="shared" si="2"/>
        <v>0</v>
      </c>
    </row>
    <row r="82" spans="1:7" s="59" customFormat="1" ht="54" customHeight="1">
      <c r="A82" s="12" t="s">
        <v>769</v>
      </c>
      <c r="B82" s="33" t="s">
        <v>473</v>
      </c>
      <c r="C82" s="14" t="s">
        <v>474</v>
      </c>
      <c r="D82" s="260" t="s">
        <v>18</v>
      </c>
      <c r="E82" s="16">
        <v>130.5</v>
      </c>
      <c r="F82" s="17"/>
      <c r="G82" s="18">
        <f t="shared" si="2"/>
        <v>0</v>
      </c>
    </row>
    <row r="83" spans="1:7" s="59" customFormat="1" ht="54" customHeight="1">
      <c r="A83" s="12" t="s">
        <v>770</v>
      </c>
      <c r="B83" s="33" t="s">
        <v>475</v>
      </c>
      <c r="C83" s="14" t="s">
        <v>476</v>
      </c>
      <c r="D83" s="260" t="s">
        <v>18</v>
      </c>
      <c r="E83" s="16">
        <v>21.5</v>
      </c>
      <c r="F83" s="17"/>
      <c r="G83" s="18">
        <f t="shared" si="2"/>
        <v>0</v>
      </c>
    </row>
    <row r="84" spans="1:7" s="59" customFormat="1" ht="18" customHeight="1">
      <c r="A84" s="12" t="s">
        <v>771</v>
      </c>
      <c r="B84" s="33" t="s">
        <v>406</v>
      </c>
      <c r="C84" s="14" t="s">
        <v>407</v>
      </c>
      <c r="D84" s="260" t="s">
        <v>228</v>
      </c>
      <c r="E84" s="16">
        <v>1</v>
      </c>
      <c r="F84" s="17"/>
      <c r="G84" s="18">
        <f t="shared" si="2"/>
        <v>0</v>
      </c>
    </row>
    <row r="85" spans="1:7" s="59" customFormat="1" ht="18" customHeight="1">
      <c r="A85" s="595"/>
      <c r="B85" s="596"/>
      <c r="C85" s="599" t="s">
        <v>485</v>
      </c>
      <c r="D85" s="559"/>
      <c r="E85" s="16"/>
      <c r="F85" s="598"/>
      <c r="G85" s="588"/>
    </row>
    <row r="86" spans="1:7" s="59" customFormat="1" ht="55.5" customHeight="1">
      <c r="A86" s="12" t="s">
        <v>772</v>
      </c>
      <c r="B86" s="596" t="s">
        <v>406</v>
      </c>
      <c r="C86" s="597" t="s">
        <v>477</v>
      </c>
      <c r="D86" s="559" t="s">
        <v>18</v>
      </c>
      <c r="E86" s="16">
        <v>200</v>
      </c>
      <c r="F86" s="598"/>
      <c r="G86" s="18">
        <f aca="true" t="shared" si="3" ref="G86:G92">$E86*F86</f>
        <v>0</v>
      </c>
    </row>
    <row r="87" spans="1:7" s="59" customFormat="1" ht="43.5" customHeight="1">
      <c r="A87" s="12" t="s">
        <v>773</v>
      </c>
      <c r="B87" s="596" t="s">
        <v>478</v>
      </c>
      <c r="C87" s="597" t="s">
        <v>479</v>
      </c>
      <c r="D87" s="559" t="s">
        <v>18</v>
      </c>
      <c r="E87" s="16">
        <v>200</v>
      </c>
      <c r="F87" s="598"/>
      <c r="G87" s="18">
        <f t="shared" si="3"/>
        <v>0</v>
      </c>
    </row>
    <row r="88" spans="1:7" s="59" customFormat="1" ht="18" customHeight="1">
      <c r="A88" s="12" t="s">
        <v>774</v>
      </c>
      <c r="B88" s="596" t="s">
        <v>457</v>
      </c>
      <c r="C88" s="597" t="s">
        <v>480</v>
      </c>
      <c r="D88" s="559" t="s">
        <v>23</v>
      </c>
      <c r="E88" s="16">
        <v>0.008</v>
      </c>
      <c r="F88" s="598"/>
      <c r="G88" s="18">
        <f t="shared" si="3"/>
        <v>0</v>
      </c>
    </row>
    <row r="89" spans="1:7" s="59" customFormat="1" ht="18" customHeight="1">
      <c r="A89" s="12" t="s">
        <v>775</v>
      </c>
      <c r="B89" s="596" t="s">
        <v>481</v>
      </c>
      <c r="C89" s="597" t="s">
        <v>482</v>
      </c>
      <c r="D89" s="559" t="s">
        <v>18</v>
      </c>
      <c r="E89" s="16">
        <v>200</v>
      </c>
      <c r="F89" s="598"/>
      <c r="G89" s="18">
        <f t="shared" si="3"/>
        <v>0</v>
      </c>
    </row>
    <row r="90" spans="1:7" s="59" customFormat="1" ht="18" customHeight="1">
      <c r="A90" s="12" t="s">
        <v>776</v>
      </c>
      <c r="B90" s="596" t="s">
        <v>453</v>
      </c>
      <c r="C90" s="597" t="s">
        <v>483</v>
      </c>
      <c r="D90" s="559" t="s">
        <v>19</v>
      </c>
      <c r="E90" s="16">
        <v>6</v>
      </c>
      <c r="F90" s="598"/>
      <c r="G90" s="18">
        <f t="shared" si="3"/>
        <v>0</v>
      </c>
    </row>
    <row r="91" spans="1:7" s="59" customFormat="1" ht="18" customHeight="1">
      <c r="A91" s="12" t="s">
        <v>777</v>
      </c>
      <c r="B91" s="596" t="s">
        <v>455</v>
      </c>
      <c r="C91" s="597" t="s">
        <v>484</v>
      </c>
      <c r="D91" s="559" t="s">
        <v>19</v>
      </c>
      <c r="E91" s="16">
        <v>6</v>
      </c>
      <c r="F91" s="598"/>
      <c r="G91" s="18">
        <f t="shared" si="3"/>
        <v>0</v>
      </c>
    </row>
    <row r="92" spans="1:7" s="59" customFormat="1" ht="18" customHeight="1">
      <c r="A92" s="12" t="s">
        <v>778</v>
      </c>
      <c r="B92" s="596" t="s">
        <v>406</v>
      </c>
      <c r="C92" s="597" t="s">
        <v>407</v>
      </c>
      <c r="D92" s="260" t="s">
        <v>228</v>
      </c>
      <c r="E92" s="16">
        <v>1</v>
      </c>
      <c r="F92" s="17"/>
      <c r="G92" s="18">
        <f t="shared" si="3"/>
        <v>0</v>
      </c>
    </row>
    <row r="93" spans="1:7" s="79" customFormat="1" ht="17.25" customHeight="1" thickBot="1">
      <c r="A93" s="81"/>
      <c r="B93" s="82"/>
      <c r="C93" s="83"/>
      <c r="D93" s="84"/>
      <c r="E93" s="85"/>
      <c r="F93" s="86"/>
      <c r="G93" s="87"/>
    </row>
    <row r="94" spans="1:7" s="99" customFormat="1" ht="16.5" customHeight="1" thickBot="1">
      <c r="A94" s="237"/>
      <c r="B94" s="238"/>
      <c r="C94" s="239"/>
      <c r="D94" s="240"/>
      <c r="E94" s="282"/>
      <c r="F94" s="278"/>
      <c r="G94" s="243">
        <f>SUBTOTAL(9,G49:G93)</f>
        <v>0</v>
      </c>
    </row>
    <row r="95" spans="1:7" s="99" customFormat="1" ht="13.7" customHeight="1" thickBot="1">
      <c r="A95" s="244"/>
      <c r="B95" s="245"/>
      <c r="C95" s="246"/>
      <c r="D95" s="246"/>
      <c r="E95" s="285"/>
      <c r="F95" s="281"/>
      <c r="G95" s="201"/>
    </row>
    <row r="96" spans="1:7" s="210" customFormat="1" ht="16.5" customHeight="1" thickBot="1">
      <c r="A96" s="202" t="s">
        <v>27</v>
      </c>
      <c r="B96" s="203"/>
      <c r="C96" s="204" t="s">
        <v>488</v>
      </c>
      <c r="D96" s="205"/>
      <c r="E96" s="206"/>
      <c r="F96" s="207"/>
      <c r="G96" s="208"/>
    </row>
    <row r="97" spans="1:7" s="99" customFormat="1" ht="12.75">
      <c r="A97" s="212"/>
      <c r="B97" s="299"/>
      <c r="C97" s="213"/>
      <c r="D97" s="214"/>
      <c r="E97" s="287"/>
      <c r="F97" s="216"/>
      <c r="G97" s="300"/>
    </row>
    <row r="98" spans="1:7" s="268" customFormat="1" ht="19.5" customHeight="1">
      <c r="A98" s="258"/>
      <c r="B98" s="227"/>
      <c r="C98" s="601" t="s">
        <v>500</v>
      </c>
      <c r="D98" s="260"/>
      <c r="E98" s="228"/>
      <c r="F98" s="228"/>
      <c r="G98" s="34"/>
    </row>
    <row r="99" spans="1:7" s="268" customFormat="1" ht="19.5" customHeight="1">
      <c r="A99" s="258" t="s">
        <v>38</v>
      </c>
      <c r="B99" s="227"/>
      <c r="C99" s="259" t="s">
        <v>493</v>
      </c>
      <c r="D99" s="260" t="s">
        <v>489</v>
      </c>
      <c r="E99" s="228">
        <v>1</v>
      </c>
      <c r="F99" s="228"/>
      <c r="G99" s="34">
        <f>$E99*F99</f>
        <v>0</v>
      </c>
    </row>
    <row r="100" spans="1:7" s="268" customFormat="1" ht="19.5" customHeight="1">
      <c r="A100" s="258" t="s">
        <v>229</v>
      </c>
      <c r="B100" s="227"/>
      <c r="C100" s="259" t="s">
        <v>494</v>
      </c>
      <c r="D100" s="260" t="s">
        <v>490</v>
      </c>
      <c r="E100" s="228">
        <v>1</v>
      </c>
      <c r="F100" s="228"/>
      <c r="G100" s="34">
        <f aca="true" t="shared" si="4" ref="G100:G179">$E100*F100</f>
        <v>0</v>
      </c>
    </row>
    <row r="101" spans="1:7" s="268" customFormat="1" ht="19.5" customHeight="1">
      <c r="A101" s="258" t="s">
        <v>230</v>
      </c>
      <c r="B101" s="227"/>
      <c r="C101" s="259" t="s">
        <v>495</v>
      </c>
      <c r="D101" s="260" t="s">
        <v>490</v>
      </c>
      <c r="E101" s="228">
        <v>2</v>
      </c>
      <c r="F101" s="228"/>
      <c r="G101" s="34">
        <f t="shared" si="4"/>
        <v>0</v>
      </c>
    </row>
    <row r="102" spans="1:7" s="268" customFormat="1" ht="19.5" customHeight="1">
      <c r="A102" s="258" t="s">
        <v>231</v>
      </c>
      <c r="B102" s="227"/>
      <c r="C102" s="259" t="s">
        <v>496</v>
      </c>
      <c r="D102" s="260" t="s">
        <v>489</v>
      </c>
      <c r="E102" s="228">
        <v>1</v>
      </c>
      <c r="F102" s="228"/>
      <c r="G102" s="34">
        <f t="shared" si="4"/>
        <v>0</v>
      </c>
    </row>
    <row r="103" spans="1:7" s="268" customFormat="1" ht="19.5" customHeight="1">
      <c r="A103" s="258" t="s">
        <v>233</v>
      </c>
      <c r="B103" s="227"/>
      <c r="C103" s="259" t="s">
        <v>497</v>
      </c>
      <c r="D103" s="260" t="s">
        <v>491</v>
      </c>
      <c r="E103" s="228">
        <v>1</v>
      </c>
      <c r="F103" s="228"/>
      <c r="G103" s="34">
        <f t="shared" si="4"/>
        <v>0</v>
      </c>
    </row>
    <row r="104" spans="1:7" s="268" customFormat="1" ht="19.5" customHeight="1">
      <c r="A104" s="258" t="s">
        <v>235</v>
      </c>
      <c r="B104" s="227"/>
      <c r="C104" s="259" t="s">
        <v>498</v>
      </c>
      <c r="D104" s="260" t="s">
        <v>492</v>
      </c>
      <c r="E104" s="228">
        <v>9</v>
      </c>
      <c r="F104" s="228"/>
      <c r="G104" s="34">
        <f t="shared" si="4"/>
        <v>0</v>
      </c>
    </row>
    <row r="105" spans="1:7" s="268" customFormat="1" ht="19.5" customHeight="1">
      <c r="A105" s="258" t="s">
        <v>236</v>
      </c>
      <c r="B105" s="227"/>
      <c r="C105" s="259" t="s">
        <v>499</v>
      </c>
      <c r="D105" s="260" t="s">
        <v>489</v>
      </c>
      <c r="E105" s="228">
        <v>1</v>
      </c>
      <c r="F105" s="228"/>
      <c r="G105" s="34">
        <f t="shared" si="4"/>
        <v>0</v>
      </c>
    </row>
    <row r="106" spans="1:7" s="268" customFormat="1" ht="19.5" customHeight="1">
      <c r="A106" s="258"/>
      <c r="B106" s="227"/>
      <c r="C106" s="259"/>
      <c r="D106" s="260"/>
      <c r="E106" s="228"/>
      <c r="F106" s="228"/>
      <c r="G106" s="34"/>
    </row>
    <row r="107" spans="1:7" s="268" customFormat="1" ht="19.5" customHeight="1">
      <c r="A107" s="258"/>
      <c r="B107" s="227"/>
      <c r="C107" s="259" t="s">
        <v>501</v>
      </c>
      <c r="D107" s="260"/>
      <c r="E107" s="228"/>
      <c r="F107" s="228"/>
      <c r="G107" s="34"/>
    </row>
    <row r="108" spans="1:7" s="268" customFormat="1" ht="19.5" customHeight="1">
      <c r="A108" s="258" t="s">
        <v>309</v>
      </c>
      <c r="B108" s="227"/>
      <c r="C108" s="259" t="s">
        <v>502</v>
      </c>
      <c r="D108" s="260" t="s">
        <v>503</v>
      </c>
      <c r="E108" s="228">
        <v>2</v>
      </c>
      <c r="F108" s="228"/>
      <c r="G108" s="34">
        <f t="shared" si="4"/>
        <v>0</v>
      </c>
    </row>
    <row r="109" spans="1:7" s="268" customFormat="1" ht="19.5" customHeight="1">
      <c r="A109" s="258" t="s">
        <v>310</v>
      </c>
      <c r="B109" s="227"/>
      <c r="C109" s="259" t="s">
        <v>504</v>
      </c>
      <c r="D109" s="260" t="s">
        <v>503</v>
      </c>
      <c r="E109" s="228">
        <v>7</v>
      </c>
      <c r="F109" s="228"/>
      <c r="G109" s="34">
        <f t="shared" si="4"/>
        <v>0</v>
      </c>
    </row>
    <row r="110" spans="1:7" s="268" customFormat="1" ht="19.5" customHeight="1">
      <c r="A110" s="258" t="s">
        <v>311</v>
      </c>
      <c r="B110" s="227"/>
      <c r="C110" s="259" t="s">
        <v>505</v>
      </c>
      <c r="D110" s="260" t="s">
        <v>506</v>
      </c>
      <c r="E110" s="228">
        <v>5</v>
      </c>
      <c r="F110" s="228"/>
      <c r="G110" s="34">
        <f t="shared" si="4"/>
        <v>0</v>
      </c>
    </row>
    <row r="111" spans="1:7" s="268" customFormat="1" ht="19.5" customHeight="1">
      <c r="A111" s="258" t="s">
        <v>779</v>
      </c>
      <c r="B111" s="227"/>
      <c r="C111" s="259" t="s">
        <v>507</v>
      </c>
      <c r="D111" s="260" t="s">
        <v>506</v>
      </c>
      <c r="E111" s="228">
        <v>8</v>
      </c>
      <c r="F111" s="228"/>
      <c r="G111" s="34">
        <f t="shared" si="4"/>
        <v>0</v>
      </c>
    </row>
    <row r="112" spans="1:7" s="268" customFormat="1" ht="19.5" customHeight="1">
      <c r="A112" s="258" t="s">
        <v>780</v>
      </c>
      <c r="B112" s="227"/>
      <c r="C112" s="259" t="s">
        <v>508</v>
      </c>
      <c r="D112" s="260" t="s">
        <v>506</v>
      </c>
      <c r="E112" s="228">
        <v>15</v>
      </c>
      <c r="F112" s="228"/>
      <c r="G112" s="34">
        <f t="shared" si="4"/>
        <v>0</v>
      </c>
    </row>
    <row r="113" spans="1:7" s="268" customFormat="1" ht="19.5" customHeight="1">
      <c r="A113" s="258" t="s">
        <v>781</v>
      </c>
      <c r="B113" s="227"/>
      <c r="C113" s="259" t="s">
        <v>509</v>
      </c>
      <c r="D113" s="260" t="s">
        <v>503</v>
      </c>
      <c r="E113" s="228">
        <v>155</v>
      </c>
      <c r="F113" s="228"/>
      <c r="G113" s="34">
        <f t="shared" si="4"/>
        <v>0</v>
      </c>
    </row>
    <row r="114" spans="1:7" s="268" customFormat="1" ht="19.5" customHeight="1">
      <c r="A114" s="258" t="s">
        <v>782</v>
      </c>
      <c r="B114" s="227"/>
      <c r="C114" s="259" t="s">
        <v>510</v>
      </c>
      <c r="D114" s="260" t="s">
        <v>511</v>
      </c>
      <c r="E114" s="228">
        <v>2</v>
      </c>
      <c r="F114" s="228"/>
      <c r="G114" s="34">
        <f t="shared" si="4"/>
        <v>0</v>
      </c>
    </row>
    <row r="115" spans="1:7" s="268" customFormat="1" ht="19.5" customHeight="1">
      <c r="A115" s="258" t="s">
        <v>783</v>
      </c>
      <c r="B115" s="227"/>
      <c r="C115" s="259" t="s">
        <v>512</v>
      </c>
      <c r="D115" s="260" t="s">
        <v>513</v>
      </c>
      <c r="E115" s="228">
        <v>3</v>
      </c>
      <c r="F115" s="228"/>
      <c r="G115" s="34">
        <f t="shared" si="4"/>
        <v>0</v>
      </c>
    </row>
    <row r="116" spans="1:7" s="268" customFormat="1" ht="19.5" customHeight="1">
      <c r="A116" s="258" t="s">
        <v>784</v>
      </c>
      <c r="B116" s="227"/>
      <c r="C116" s="259" t="s">
        <v>514</v>
      </c>
      <c r="D116" s="260" t="s">
        <v>513</v>
      </c>
      <c r="E116" s="228">
        <v>8</v>
      </c>
      <c r="F116" s="228"/>
      <c r="G116" s="34">
        <f t="shared" si="4"/>
        <v>0</v>
      </c>
    </row>
    <row r="117" spans="1:7" s="268" customFormat="1" ht="19.5" customHeight="1">
      <c r="A117" s="258" t="s">
        <v>785</v>
      </c>
      <c r="B117" s="227"/>
      <c r="C117" s="259" t="s">
        <v>515</v>
      </c>
      <c r="D117" s="260" t="s">
        <v>503</v>
      </c>
      <c r="E117" s="228">
        <v>35</v>
      </c>
      <c r="F117" s="228"/>
      <c r="G117" s="34">
        <f t="shared" si="4"/>
        <v>0</v>
      </c>
    </row>
    <row r="118" spans="1:7" s="268" customFormat="1" ht="19.5" customHeight="1">
      <c r="A118" s="258" t="s">
        <v>786</v>
      </c>
      <c r="B118" s="227"/>
      <c r="C118" s="259" t="s">
        <v>516</v>
      </c>
      <c r="D118" s="260" t="s">
        <v>517</v>
      </c>
      <c r="E118" s="228">
        <v>4</v>
      </c>
      <c r="F118" s="228"/>
      <c r="G118" s="34">
        <f t="shared" si="4"/>
        <v>0</v>
      </c>
    </row>
    <row r="119" spans="1:7" s="268" customFormat="1" ht="19.5" customHeight="1">
      <c r="A119" s="258" t="s">
        <v>787</v>
      </c>
      <c r="B119" s="227"/>
      <c r="C119" s="259" t="s">
        <v>518</v>
      </c>
      <c r="D119" s="260" t="s">
        <v>517</v>
      </c>
      <c r="E119" s="228">
        <v>1</v>
      </c>
      <c r="F119" s="228"/>
      <c r="G119" s="34">
        <f t="shared" si="4"/>
        <v>0</v>
      </c>
    </row>
    <row r="120" spans="1:7" s="268" customFormat="1" ht="19.5" customHeight="1">
      <c r="A120" s="258" t="s">
        <v>788</v>
      </c>
      <c r="B120" s="227"/>
      <c r="C120" s="259" t="s">
        <v>519</v>
      </c>
      <c r="D120" s="260" t="s">
        <v>506</v>
      </c>
      <c r="E120" s="228">
        <v>1</v>
      </c>
      <c r="F120" s="228"/>
      <c r="G120" s="34">
        <f t="shared" si="4"/>
        <v>0</v>
      </c>
    </row>
    <row r="121" spans="1:7" s="268" customFormat="1" ht="19.5" customHeight="1">
      <c r="A121" s="258" t="s">
        <v>789</v>
      </c>
      <c r="B121" s="227"/>
      <c r="C121" s="259" t="s">
        <v>520</v>
      </c>
      <c r="D121" s="260" t="s">
        <v>506</v>
      </c>
      <c r="E121" s="228">
        <v>5</v>
      </c>
      <c r="F121" s="228"/>
      <c r="G121" s="34">
        <f t="shared" si="4"/>
        <v>0</v>
      </c>
    </row>
    <row r="122" spans="1:7" s="268" customFormat="1" ht="19.5" customHeight="1">
      <c r="A122" s="258" t="s">
        <v>790</v>
      </c>
      <c r="B122" s="227"/>
      <c r="C122" s="259" t="s">
        <v>521</v>
      </c>
      <c r="D122" s="260" t="s">
        <v>506</v>
      </c>
      <c r="E122" s="228">
        <v>1</v>
      </c>
      <c r="F122" s="228"/>
      <c r="G122" s="34">
        <f t="shared" si="4"/>
        <v>0</v>
      </c>
    </row>
    <row r="123" spans="1:7" s="268" customFormat="1" ht="19.5" customHeight="1">
      <c r="A123" s="258" t="s">
        <v>791</v>
      </c>
      <c r="B123" s="227"/>
      <c r="C123" s="259" t="s">
        <v>522</v>
      </c>
      <c r="D123" s="260" t="s">
        <v>517</v>
      </c>
      <c r="E123" s="228">
        <v>3</v>
      </c>
      <c r="F123" s="228"/>
      <c r="G123" s="34">
        <f t="shared" si="4"/>
        <v>0</v>
      </c>
    </row>
    <row r="124" spans="1:7" s="268" customFormat="1" ht="19.5" customHeight="1">
      <c r="A124" s="258" t="s">
        <v>792</v>
      </c>
      <c r="B124" s="227"/>
      <c r="C124" s="259" t="s">
        <v>523</v>
      </c>
      <c r="D124" s="260" t="s">
        <v>506</v>
      </c>
      <c r="E124" s="228">
        <v>1</v>
      </c>
      <c r="F124" s="228"/>
      <c r="G124" s="34">
        <f t="shared" si="4"/>
        <v>0</v>
      </c>
    </row>
    <row r="125" spans="1:7" s="268" customFormat="1" ht="19.5" customHeight="1">
      <c r="A125" s="258" t="s">
        <v>793</v>
      </c>
      <c r="B125" s="227"/>
      <c r="C125" s="259" t="s">
        <v>524</v>
      </c>
      <c r="D125" s="260" t="s">
        <v>517</v>
      </c>
      <c r="E125" s="228">
        <v>1</v>
      </c>
      <c r="F125" s="228"/>
      <c r="G125" s="34">
        <f t="shared" si="4"/>
        <v>0</v>
      </c>
    </row>
    <row r="126" spans="1:7" s="268" customFormat="1" ht="19.5" customHeight="1">
      <c r="A126" s="258" t="s">
        <v>794</v>
      </c>
      <c r="B126" s="227"/>
      <c r="C126" s="259" t="s">
        <v>525</v>
      </c>
      <c r="D126" s="260" t="s">
        <v>517</v>
      </c>
      <c r="E126" s="228">
        <v>1</v>
      </c>
      <c r="F126" s="228"/>
      <c r="G126" s="34">
        <f t="shared" si="4"/>
        <v>0</v>
      </c>
    </row>
    <row r="127" spans="1:7" s="268" customFormat="1" ht="19.5" customHeight="1">
      <c r="A127" s="258" t="s">
        <v>795</v>
      </c>
      <c r="B127" s="227"/>
      <c r="C127" s="259" t="s">
        <v>526</v>
      </c>
      <c r="D127" s="260" t="s">
        <v>517</v>
      </c>
      <c r="E127" s="228">
        <v>2</v>
      </c>
      <c r="F127" s="228"/>
      <c r="G127" s="34">
        <f t="shared" si="4"/>
        <v>0</v>
      </c>
    </row>
    <row r="128" spans="1:7" s="268" customFormat="1" ht="19.5" customHeight="1">
      <c r="A128" s="258" t="s">
        <v>796</v>
      </c>
      <c r="B128" s="227"/>
      <c r="C128" s="259" t="s">
        <v>527</v>
      </c>
      <c r="D128" s="260" t="s">
        <v>517</v>
      </c>
      <c r="E128" s="228">
        <v>5</v>
      </c>
      <c r="F128" s="228"/>
      <c r="G128" s="34">
        <f t="shared" si="4"/>
        <v>0</v>
      </c>
    </row>
    <row r="129" spans="1:7" s="268" customFormat="1" ht="19.5" customHeight="1">
      <c r="A129" s="258" t="s">
        <v>797</v>
      </c>
      <c r="B129" s="227"/>
      <c r="C129" s="259" t="s">
        <v>528</v>
      </c>
      <c r="D129" s="260" t="s">
        <v>503</v>
      </c>
      <c r="E129" s="228">
        <v>15</v>
      </c>
      <c r="F129" s="228"/>
      <c r="G129" s="34">
        <f t="shared" si="4"/>
        <v>0</v>
      </c>
    </row>
    <row r="130" spans="1:7" s="268" customFormat="1" ht="19.5" customHeight="1">
      <c r="A130" s="258" t="s">
        <v>798</v>
      </c>
      <c r="B130" s="227"/>
      <c r="C130" s="259" t="s">
        <v>529</v>
      </c>
      <c r="D130" s="260" t="s">
        <v>503</v>
      </c>
      <c r="E130" s="228">
        <v>15</v>
      </c>
      <c r="F130" s="228"/>
      <c r="G130" s="34">
        <f t="shared" si="4"/>
        <v>0</v>
      </c>
    </row>
    <row r="131" spans="1:7" s="268" customFormat="1" ht="19.5" customHeight="1">
      <c r="A131" s="258" t="s">
        <v>799</v>
      </c>
      <c r="B131" s="227"/>
      <c r="C131" s="259" t="s">
        <v>530</v>
      </c>
      <c r="D131" s="260" t="s">
        <v>503</v>
      </c>
      <c r="E131" s="228">
        <v>40</v>
      </c>
      <c r="F131" s="228"/>
      <c r="G131" s="34">
        <f t="shared" si="4"/>
        <v>0</v>
      </c>
    </row>
    <row r="132" spans="1:7" s="268" customFormat="1" ht="19.5" customHeight="1">
      <c r="A132" s="258" t="s">
        <v>800</v>
      </c>
      <c r="B132" s="227"/>
      <c r="C132" s="259" t="s">
        <v>531</v>
      </c>
      <c r="D132" s="260" t="s">
        <v>506</v>
      </c>
      <c r="E132" s="228">
        <v>11</v>
      </c>
      <c r="F132" s="228"/>
      <c r="G132" s="34">
        <f t="shared" si="4"/>
        <v>0</v>
      </c>
    </row>
    <row r="133" spans="1:7" s="268" customFormat="1" ht="19.5" customHeight="1">
      <c r="A133" s="258" t="s">
        <v>801</v>
      </c>
      <c r="B133" s="227"/>
      <c r="C133" s="259" t="s">
        <v>532</v>
      </c>
      <c r="D133" s="260" t="s">
        <v>533</v>
      </c>
      <c r="E133" s="228">
        <v>36</v>
      </c>
      <c r="F133" s="228"/>
      <c r="G133" s="34">
        <f t="shared" si="4"/>
        <v>0</v>
      </c>
    </row>
    <row r="134" spans="1:7" s="268" customFormat="1" ht="19.5" customHeight="1">
      <c r="A134" s="258" t="s">
        <v>802</v>
      </c>
      <c r="B134" s="227"/>
      <c r="C134" s="259" t="s">
        <v>534</v>
      </c>
      <c r="D134" s="260" t="s">
        <v>533</v>
      </c>
      <c r="E134" s="228">
        <v>20</v>
      </c>
      <c r="F134" s="228"/>
      <c r="G134" s="34">
        <f t="shared" si="4"/>
        <v>0</v>
      </c>
    </row>
    <row r="135" spans="1:7" s="268" customFormat="1" ht="19.5" customHeight="1">
      <c r="A135" s="258" t="s">
        <v>803</v>
      </c>
      <c r="B135" s="227"/>
      <c r="C135" s="259" t="s">
        <v>535</v>
      </c>
      <c r="D135" s="260" t="s">
        <v>503</v>
      </c>
      <c r="E135" s="228">
        <v>82</v>
      </c>
      <c r="F135" s="228"/>
      <c r="G135" s="34">
        <f t="shared" si="4"/>
        <v>0</v>
      </c>
    </row>
    <row r="136" spans="1:7" s="268" customFormat="1" ht="19.5" customHeight="1">
      <c r="A136" s="258" t="s">
        <v>804</v>
      </c>
      <c r="B136" s="227"/>
      <c r="C136" s="259" t="s">
        <v>536</v>
      </c>
      <c r="D136" s="260" t="s">
        <v>537</v>
      </c>
      <c r="E136" s="228">
        <v>2</v>
      </c>
      <c r="F136" s="228"/>
      <c r="G136" s="34">
        <f t="shared" si="4"/>
        <v>0</v>
      </c>
    </row>
    <row r="137" spans="1:7" s="268" customFormat="1" ht="19.5" customHeight="1">
      <c r="A137" s="258" t="s">
        <v>805</v>
      </c>
      <c r="B137" s="227"/>
      <c r="C137" s="259" t="s">
        <v>538</v>
      </c>
      <c r="D137" s="260" t="s">
        <v>539</v>
      </c>
      <c r="E137" s="228">
        <v>2</v>
      </c>
      <c r="F137" s="228"/>
      <c r="G137" s="34">
        <f t="shared" si="4"/>
        <v>0</v>
      </c>
    </row>
    <row r="138" spans="1:7" s="268" customFormat="1" ht="19.5" customHeight="1">
      <c r="A138" s="258" t="s">
        <v>806</v>
      </c>
      <c r="B138" s="227"/>
      <c r="C138" s="259" t="s">
        <v>540</v>
      </c>
      <c r="D138" s="260" t="s">
        <v>541</v>
      </c>
      <c r="E138" s="228">
        <v>4</v>
      </c>
      <c r="F138" s="228"/>
      <c r="G138" s="34">
        <f t="shared" si="4"/>
        <v>0</v>
      </c>
    </row>
    <row r="139" spans="1:7" s="268" customFormat="1" ht="19.5" customHeight="1">
      <c r="A139" s="258" t="s">
        <v>807</v>
      </c>
      <c r="B139" s="227"/>
      <c r="C139" s="259" t="s">
        <v>542</v>
      </c>
      <c r="D139" s="260" t="s">
        <v>503</v>
      </c>
      <c r="E139" s="228">
        <v>19</v>
      </c>
      <c r="F139" s="228"/>
      <c r="G139" s="34">
        <f t="shared" si="4"/>
        <v>0</v>
      </c>
    </row>
    <row r="140" spans="1:7" s="268" customFormat="1" ht="19.5" customHeight="1">
      <c r="A140" s="258" t="s">
        <v>808</v>
      </c>
      <c r="B140" s="227"/>
      <c r="C140" s="259" t="s">
        <v>543</v>
      </c>
      <c r="D140" s="260" t="s">
        <v>513</v>
      </c>
      <c r="E140" s="228">
        <v>10</v>
      </c>
      <c r="F140" s="228"/>
      <c r="G140" s="34">
        <f t="shared" si="4"/>
        <v>0</v>
      </c>
    </row>
    <row r="141" spans="1:7" s="268" customFormat="1" ht="19.5" customHeight="1">
      <c r="A141" s="258"/>
      <c r="B141" s="227"/>
      <c r="C141" s="259"/>
      <c r="D141" s="260"/>
      <c r="E141" s="228"/>
      <c r="F141" s="228"/>
      <c r="G141" s="34"/>
    </row>
    <row r="142" spans="1:7" s="268" customFormat="1" ht="19.5" customHeight="1">
      <c r="A142" s="258"/>
      <c r="B142" s="227"/>
      <c r="C142" s="259" t="s">
        <v>544</v>
      </c>
      <c r="D142" s="260"/>
      <c r="E142" s="228"/>
      <c r="F142" s="228"/>
      <c r="G142" s="34"/>
    </row>
    <row r="143" spans="1:7" s="268" customFormat="1" ht="19.5" customHeight="1">
      <c r="A143" s="258" t="s">
        <v>809</v>
      </c>
      <c r="B143" s="227"/>
      <c r="C143" s="259" t="s">
        <v>545</v>
      </c>
      <c r="D143" s="260" t="s">
        <v>20</v>
      </c>
      <c r="E143" s="228">
        <v>5</v>
      </c>
      <c r="F143" s="228"/>
      <c r="G143" s="34">
        <f t="shared" si="4"/>
        <v>0</v>
      </c>
    </row>
    <row r="144" spans="1:7" s="268" customFormat="1" ht="19.5" customHeight="1">
      <c r="A144" s="258" t="s">
        <v>810</v>
      </c>
      <c r="B144" s="227"/>
      <c r="C144" s="259" t="s">
        <v>546</v>
      </c>
      <c r="D144" s="260" t="s">
        <v>20</v>
      </c>
      <c r="E144" s="228">
        <v>3</v>
      </c>
      <c r="F144" s="228"/>
      <c r="G144" s="34">
        <f t="shared" si="4"/>
        <v>0</v>
      </c>
    </row>
    <row r="145" spans="1:7" s="268" customFormat="1" ht="19.5" customHeight="1">
      <c r="A145" s="258" t="s">
        <v>811</v>
      </c>
      <c r="B145" s="227"/>
      <c r="C145" s="259" t="s">
        <v>547</v>
      </c>
      <c r="D145" s="260" t="s">
        <v>20</v>
      </c>
      <c r="E145" s="228">
        <v>5</v>
      </c>
      <c r="F145" s="228"/>
      <c r="G145" s="34">
        <f t="shared" si="4"/>
        <v>0</v>
      </c>
    </row>
    <row r="146" spans="1:7" s="268" customFormat="1" ht="19.5" customHeight="1">
      <c r="A146" s="258" t="s">
        <v>812</v>
      </c>
      <c r="B146" s="227"/>
      <c r="C146" s="259" t="s">
        <v>548</v>
      </c>
      <c r="D146" s="260" t="s">
        <v>20</v>
      </c>
      <c r="E146" s="228">
        <v>4</v>
      </c>
      <c r="F146" s="228"/>
      <c r="G146" s="34">
        <f t="shared" si="4"/>
        <v>0</v>
      </c>
    </row>
    <row r="147" spans="1:7" s="268" customFormat="1" ht="19.5" customHeight="1">
      <c r="A147" s="258" t="s">
        <v>813</v>
      </c>
      <c r="B147" s="227"/>
      <c r="C147" s="259" t="s">
        <v>549</v>
      </c>
      <c r="D147" s="260" t="s">
        <v>20</v>
      </c>
      <c r="E147" s="228">
        <v>12</v>
      </c>
      <c r="F147" s="228"/>
      <c r="G147" s="34">
        <f t="shared" si="4"/>
        <v>0</v>
      </c>
    </row>
    <row r="148" spans="1:7" s="268" customFormat="1" ht="19.5" customHeight="1">
      <c r="A148" s="258"/>
      <c r="B148" s="227"/>
      <c r="C148" s="259"/>
      <c r="D148" s="260"/>
      <c r="E148" s="228"/>
      <c r="F148" s="228"/>
      <c r="G148" s="34"/>
    </row>
    <row r="149" spans="1:7" s="268" customFormat="1" ht="19.5" customHeight="1">
      <c r="A149" s="258"/>
      <c r="B149" s="227"/>
      <c r="C149" s="259" t="s">
        <v>814</v>
      </c>
      <c r="D149" s="260"/>
      <c r="E149" s="228"/>
      <c r="F149" s="228"/>
      <c r="G149" s="34"/>
    </row>
    <row r="150" spans="1:7" s="268" customFormat="1" ht="19.5" customHeight="1">
      <c r="A150" s="258" t="s">
        <v>815</v>
      </c>
      <c r="B150" s="227"/>
      <c r="C150" s="259" t="s">
        <v>550</v>
      </c>
      <c r="D150" s="260" t="s">
        <v>20</v>
      </c>
      <c r="E150" s="228">
        <v>8</v>
      </c>
      <c r="F150" s="228"/>
      <c r="G150" s="34">
        <f t="shared" si="4"/>
        <v>0</v>
      </c>
    </row>
    <row r="151" spans="1:7" s="268" customFormat="1" ht="19.5" customHeight="1">
      <c r="A151" s="258" t="s">
        <v>816</v>
      </c>
      <c r="B151" s="227"/>
      <c r="C151" s="259" t="s">
        <v>551</v>
      </c>
      <c r="D151" s="260" t="s">
        <v>20</v>
      </c>
      <c r="E151" s="228">
        <v>14</v>
      </c>
      <c r="F151" s="228"/>
      <c r="G151" s="34">
        <f t="shared" si="4"/>
        <v>0</v>
      </c>
    </row>
    <row r="152" spans="1:7" s="268" customFormat="1" ht="19.5" customHeight="1">
      <c r="A152" s="258" t="s">
        <v>817</v>
      </c>
      <c r="B152" s="227"/>
      <c r="C152" s="259" t="s">
        <v>552</v>
      </c>
      <c r="D152" s="260" t="s">
        <v>20</v>
      </c>
      <c r="E152" s="228">
        <v>6</v>
      </c>
      <c r="F152" s="228"/>
      <c r="G152" s="34">
        <f t="shared" si="4"/>
        <v>0</v>
      </c>
    </row>
    <row r="153" spans="1:7" s="268" customFormat="1" ht="19.5" customHeight="1">
      <c r="A153" s="258" t="s">
        <v>818</v>
      </c>
      <c r="B153" s="227"/>
      <c r="C153" s="259" t="s">
        <v>553</v>
      </c>
      <c r="D153" s="260" t="s">
        <v>20</v>
      </c>
      <c r="E153" s="228">
        <v>9</v>
      </c>
      <c r="F153" s="228"/>
      <c r="G153" s="34">
        <f t="shared" si="4"/>
        <v>0</v>
      </c>
    </row>
    <row r="154" spans="1:7" s="268" customFormat="1" ht="19.5" customHeight="1">
      <c r="A154" s="258" t="s">
        <v>819</v>
      </c>
      <c r="B154" s="227"/>
      <c r="C154" s="259" t="s">
        <v>554</v>
      </c>
      <c r="D154" s="260" t="s">
        <v>20</v>
      </c>
      <c r="E154" s="228">
        <v>50</v>
      </c>
      <c r="F154" s="228"/>
      <c r="G154" s="34">
        <f t="shared" si="4"/>
        <v>0</v>
      </c>
    </row>
    <row r="155" spans="1:7" s="268" customFormat="1" ht="19.5" customHeight="1">
      <c r="A155" s="258" t="s">
        <v>820</v>
      </c>
      <c r="B155" s="227"/>
      <c r="C155" s="259" t="s">
        <v>555</v>
      </c>
      <c r="D155" s="260" t="s">
        <v>20</v>
      </c>
      <c r="E155" s="228">
        <v>15</v>
      </c>
      <c r="F155" s="228"/>
      <c r="G155" s="34">
        <f t="shared" si="4"/>
        <v>0</v>
      </c>
    </row>
    <row r="156" spans="1:7" s="268" customFormat="1" ht="19.5" customHeight="1">
      <c r="A156" s="258" t="s">
        <v>821</v>
      </c>
      <c r="B156" s="227"/>
      <c r="C156" s="259" t="s">
        <v>556</v>
      </c>
      <c r="D156" s="260" t="s">
        <v>20</v>
      </c>
      <c r="E156" s="228">
        <v>10</v>
      </c>
      <c r="F156" s="228"/>
      <c r="G156" s="34">
        <f t="shared" si="4"/>
        <v>0</v>
      </c>
    </row>
    <row r="157" spans="1:7" s="268" customFormat="1" ht="19.5" customHeight="1">
      <c r="A157" s="258" t="s">
        <v>822</v>
      </c>
      <c r="B157" s="227"/>
      <c r="C157" s="259" t="s">
        <v>557</v>
      </c>
      <c r="D157" s="260" t="s">
        <v>20</v>
      </c>
      <c r="E157" s="228">
        <v>30</v>
      </c>
      <c r="F157" s="228"/>
      <c r="G157" s="34">
        <f t="shared" si="4"/>
        <v>0</v>
      </c>
    </row>
    <row r="158" spans="1:7" s="268" customFormat="1" ht="19.5" customHeight="1">
      <c r="A158" s="258" t="s">
        <v>823</v>
      </c>
      <c r="B158" s="227"/>
      <c r="C158" s="259" t="s">
        <v>558</v>
      </c>
      <c r="D158" s="260" t="s">
        <v>20</v>
      </c>
      <c r="E158" s="228">
        <v>15</v>
      </c>
      <c r="F158" s="228"/>
      <c r="G158" s="34">
        <f t="shared" si="4"/>
        <v>0</v>
      </c>
    </row>
    <row r="159" spans="1:7" s="268" customFormat="1" ht="19.5" customHeight="1">
      <c r="A159" s="258" t="s">
        <v>824</v>
      </c>
      <c r="B159" s="227"/>
      <c r="C159" s="259" t="s">
        <v>559</v>
      </c>
      <c r="D159" s="260" t="s">
        <v>20</v>
      </c>
      <c r="E159" s="228">
        <v>30</v>
      </c>
      <c r="F159" s="228"/>
      <c r="G159" s="34">
        <f t="shared" si="4"/>
        <v>0</v>
      </c>
    </row>
    <row r="160" spans="1:7" s="268" customFormat="1" ht="19.5" customHeight="1">
      <c r="A160" s="258" t="s">
        <v>825</v>
      </c>
      <c r="B160" s="227"/>
      <c r="C160" s="259" t="s">
        <v>560</v>
      </c>
      <c r="D160" s="260" t="s">
        <v>20</v>
      </c>
      <c r="E160" s="228">
        <v>20</v>
      </c>
      <c r="F160" s="228"/>
      <c r="G160" s="34">
        <f t="shared" si="4"/>
        <v>0</v>
      </c>
    </row>
    <row r="161" spans="1:7" s="268" customFormat="1" ht="19.5" customHeight="1">
      <c r="A161" s="258" t="s">
        <v>826</v>
      </c>
      <c r="B161" s="227"/>
      <c r="C161" s="259" t="s">
        <v>561</v>
      </c>
      <c r="D161" s="260" t="s">
        <v>20</v>
      </c>
      <c r="E161" s="228">
        <v>1</v>
      </c>
      <c r="F161" s="228"/>
      <c r="G161" s="34">
        <f t="shared" si="4"/>
        <v>0</v>
      </c>
    </row>
    <row r="162" spans="1:7" s="268" customFormat="1" ht="19.5" customHeight="1">
      <c r="A162" s="258" t="s">
        <v>827</v>
      </c>
      <c r="B162" s="227"/>
      <c r="C162" s="259" t="s">
        <v>562</v>
      </c>
      <c r="D162" s="260" t="s">
        <v>20</v>
      </c>
      <c r="E162" s="228">
        <v>10</v>
      </c>
      <c r="F162" s="228"/>
      <c r="G162" s="34">
        <f t="shared" si="4"/>
        <v>0</v>
      </c>
    </row>
    <row r="163" spans="1:7" s="268" customFormat="1" ht="19.5" customHeight="1">
      <c r="A163" s="258" t="s">
        <v>828</v>
      </c>
      <c r="B163" s="227"/>
      <c r="C163" s="259" t="s">
        <v>563</v>
      </c>
      <c r="D163" s="260" t="s">
        <v>20</v>
      </c>
      <c r="E163" s="228">
        <v>10</v>
      </c>
      <c r="F163" s="228"/>
      <c r="G163" s="34">
        <f t="shared" si="4"/>
        <v>0</v>
      </c>
    </row>
    <row r="164" spans="1:7" s="268" customFormat="1" ht="19.5" customHeight="1">
      <c r="A164" s="258" t="s">
        <v>829</v>
      </c>
      <c r="B164" s="227"/>
      <c r="C164" s="259" t="s">
        <v>564</v>
      </c>
      <c r="D164" s="260" t="s">
        <v>20</v>
      </c>
      <c r="E164" s="228">
        <v>25</v>
      </c>
      <c r="F164" s="228"/>
      <c r="G164" s="34">
        <f t="shared" si="4"/>
        <v>0</v>
      </c>
    </row>
    <row r="165" spans="1:7" s="268" customFormat="1" ht="19.5" customHeight="1">
      <c r="A165" s="258" t="s">
        <v>830</v>
      </c>
      <c r="B165" s="227"/>
      <c r="C165" s="259" t="s">
        <v>565</v>
      </c>
      <c r="D165" s="260" t="s">
        <v>20</v>
      </c>
      <c r="E165" s="228">
        <v>24</v>
      </c>
      <c r="F165" s="228"/>
      <c r="G165" s="34">
        <f t="shared" si="4"/>
        <v>0</v>
      </c>
    </row>
    <row r="166" spans="1:7" s="268" customFormat="1" ht="19.5" customHeight="1">
      <c r="A166" s="258" t="s">
        <v>831</v>
      </c>
      <c r="B166" s="227"/>
      <c r="C166" s="259" t="s">
        <v>566</v>
      </c>
      <c r="D166" s="260" t="s">
        <v>20</v>
      </c>
      <c r="E166" s="228">
        <v>15</v>
      </c>
      <c r="F166" s="228"/>
      <c r="G166" s="34">
        <f t="shared" si="4"/>
        <v>0</v>
      </c>
    </row>
    <row r="167" spans="1:7" s="268" customFormat="1" ht="19.5" customHeight="1">
      <c r="A167" s="258" t="s">
        <v>832</v>
      </c>
      <c r="B167" s="227"/>
      <c r="C167" s="259" t="s">
        <v>567</v>
      </c>
      <c r="D167" s="260" t="s">
        <v>20</v>
      </c>
      <c r="E167" s="228">
        <v>6</v>
      </c>
      <c r="F167" s="228"/>
      <c r="G167" s="34">
        <f t="shared" si="4"/>
        <v>0</v>
      </c>
    </row>
    <row r="168" spans="1:7" s="268" customFormat="1" ht="19.5" customHeight="1">
      <c r="A168" s="258" t="s">
        <v>833</v>
      </c>
      <c r="B168" s="227"/>
      <c r="C168" s="259" t="s">
        <v>568</v>
      </c>
      <c r="D168" s="260" t="s">
        <v>20</v>
      </c>
      <c r="E168" s="228">
        <v>5</v>
      </c>
      <c r="F168" s="228"/>
      <c r="G168" s="34">
        <f t="shared" si="4"/>
        <v>0</v>
      </c>
    </row>
    <row r="169" spans="1:7" s="268" customFormat="1" ht="19.5" customHeight="1">
      <c r="A169" s="258" t="s">
        <v>834</v>
      </c>
      <c r="B169" s="227"/>
      <c r="C169" s="259" t="s">
        <v>569</v>
      </c>
      <c r="D169" s="260" t="s">
        <v>20</v>
      </c>
      <c r="E169" s="228">
        <v>15</v>
      </c>
      <c r="F169" s="228"/>
      <c r="G169" s="34">
        <f t="shared" si="4"/>
        <v>0</v>
      </c>
    </row>
    <row r="170" spans="1:7" s="268" customFormat="1" ht="19.5" customHeight="1">
      <c r="A170" s="258" t="s">
        <v>835</v>
      </c>
      <c r="B170" s="227"/>
      <c r="C170" s="259" t="s">
        <v>570</v>
      </c>
      <c r="D170" s="260" t="s">
        <v>20</v>
      </c>
      <c r="E170" s="228">
        <v>10</v>
      </c>
      <c r="F170" s="228"/>
      <c r="G170" s="34">
        <f t="shared" si="4"/>
        <v>0</v>
      </c>
    </row>
    <row r="171" spans="1:7" s="268" customFormat="1" ht="19.5" customHeight="1">
      <c r="A171" s="258" t="s">
        <v>836</v>
      </c>
      <c r="B171" s="227"/>
      <c r="C171" s="259" t="s">
        <v>571</v>
      </c>
      <c r="D171" s="260" t="s">
        <v>20</v>
      </c>
      <c r="E171" s="228">
        <v>3</v>
      </c>
      <c r="F171" s="228"/>
      <c r="G171" s="34">
        <f t="shared" si="4"/>
        <v>0</v>
      </c>
    </row>
    <row r="172" spans="1:7" s="268" customFormat="1" ht="19.5" customHeight="1">
      <c r="A172" s="258" t="s">
        <v>837</v>
      </c>
      <c r="B172" s="227"/>
      <c r="C172" s="259" t="s">
        <v>572</v>
      </c>
      <c r="D172" s="260" t="s">
        <v>20</v>
      </c>
      <c r="E172" s="228">
        <v>10</v>
      </c>
      <c r="F172" s="228"/>
      <c r="G172" s="34">
        <f t="shared" si="4"/>
        <v>0</v>
      </c>
    </row>
    <row r="173" spans="1:7" s="268" customFormat="1" ht="19.5" customHeight="1">
      <c r="A173" s="258" t="s">
        <v>838</v>
      </c>
      <c r="B173" s="227"/>
      <c r="C173" s="259" t="s">
        <v>573</v>
      </c>
      <c r="D173" s="260" t="s">
        <v>20</v>
      </c>
      <c r="E173" s="228">
        <v>5</v>
      </c>
      <c r="F173" s="228"/>
      <c r="G173" s="34">
        <f t="shared" si="4"/>
        <v>0</v>
      </c>
    </row>
    <row r="174" spans="1:7" s="268" customFormat="1" ht="19.5" customHeight="1">
      <c r="A174" s="258" t="s">
        <v>839</v>
      </c>
      <c r="B174" s="227"/>
      <c r="C174" s="259" t="s">
        <v>574</v>
      </c>
      <c r="D174" s="260" t="s">
        <v>20</v>
      </c>
      <c r="E174" s="228">
        <v>15</v>
      </c>
      <c r="F174" s="228"/>
      <c r="G174" s="34">
        <f t="shared" si="4"/>
        <v>0</v>
      </c>
    </row>
    <row r="175" spans="1:7" s="268" customFormat="1" ht="19.5" customHeight="1">
      <c r="A175" s="258" t="s">
        <v>840</v>
      </c>
      <c r="B175" s="227"/>
      <c r="C175" s="259" t="s">
        <v>575</v>
      </c>
      <c r="D175" s="260" t="s">
        <v>20</v>
      </c>
      <c r="E175" s="228">
        <v>40</v>
      </c>
      <c r="F175" s="228"/>
      <c r="G175" s="34">
        <f t="shared" si="4"/>
        <v>0</v>
      </c>
    </row>
    <row r="176" spans="1:7" s="268" customFormat="1" ht="19.5" customHeight="1">
      <c r="A176" s="258" t="s">
        <v>841</v>
      </c>
      <c r="B176" s="227"/>
      <c r="C176" s="259" t="s">
        <v>576</v>
      </c>
      <c r="D176" s="260" t="s">
        <v>20</v>
      </c>
      <c r="E176" s="228">
        <v>4</v>
      </c>
      <c r="F176" s="228"/>
      <c r="G176" s="34">
        <f t="shared" si="4"/>
        <v>0</v>
      </c>
    </row>
    <row r="177" spans="1:7" s="268" customFormat="1" ht="19.5" customHeight="1">
      <c r="A177" s="258" t="s">
        <v>842</v>
      </c>
      <c r="B177" s="227"/>
      <c r="C177" s="259" t="s">
        <v>577</v>
      </c>
      <c r="D177" s="260" t="s">
        <v>20</v>
      </c>
      <c r="E177" s="228">
        <v>12</v>
      </c>
      <c r="F177" s="228"/>
      <c r="G177" s="34">
        <f t="shared" si="4"/>
        <v>0</v>
      </c>
    </row>
    <row r="178" spans="1:7" s="268" customFormat="1" ht="15.75" customHeight="1">
      <c r="A178" s="258"/>
      <c r="B178" s="227"/>
      <c r="C178" s="259"/>
      <c r="D178" s="260"/>
      <c r="E178" s="228"/>
      <c r="F178" s="228"/>
      <c r="G178" s="34"/>
    </row>
    <row r="179" spans="1:7" s="268" customFormat="1" ht="16.5" customHeight="1">
      <c r="A179" s="258" t="s">
        <v>843</v>
      </c>
      <c r="B179" s="227"/>
      <c r="C179" s="259" t="s">
        <v>578</v>
      </c>
      <c r="D179" s="260" t="s">
        <v>228</v>
      </c>
      <c r="E179" s="228">
        <v>1</v>
      </c>
      <c r="F179" s="228"/>
      <c r="G179" s="34">
        <f t="shared" si="4"/>
        <v>0</v>
      </c>
    </row>
    <row r="180" spans="1:7" s="268" customFormat="1" ht="12" customHeight="1" thickBot="1">
      <c r="A180" s="258"/>
      <c r="B180" s="227"/>
      <c r="C180" s="259"/>
      <c r="D180" s="260"/>
      <c r="E180" s="228"/>
      <c r="F180" s="228"/>
      <c r="G180" s="34"/>
    </row>
    <row r="181" spans="1:7" s="297" customFormat="1" ht="16.5" customHeight="1" thickBot="1">
      <c r="A181" s="293"/>
      <c r="B181" s="294"/>
      <c r="C181" s="239" t="s">
        <v>24</v>
      </c>
      <c r="D181" s="295"/>
      <c r="E181" s="296"/>
      <c r="F181" s="242"/>
      <c r="G181" s="243">
        <f>SUBTOTAL(9,G97:G180)</f>
        <v>0</v>
      </c>
    </row>
    <row r="182" spans="1:7" s="99" customFormat="1" ht="13.7" customHeight="1" thickBot="1">
      <c r="A182" s="244"/>
      <c r="B182" s="245"/>
      <c r="C182" s="246"/>
      <c r="D182" s="246"/>
      <c r="E182" s="285"/>
      <c r="F182" s="200"/>
      <c r="G182" s="201"/>
    </row>
    <row r="183" spans="1:7" s="210" customFormat="1" ht="16.5" customHeight="1" thickBot="1">
      <c r="A183" s="202" t="s">
        <v>39</v>
      </c>
      <c r="B183" s="203"/>
      <c r="C183" s="204" t="s">
        <v>579</v>
      </c>
      <c r="D183" s="205"/>
      <c r="E183" s="206"/>
      <c r="F183" s="207"/>
      <c r="G183" s="208"/>
    </row>
    <row r="184" spans="1:7" s="99" customFormat="1" ht="12" customHeight="1">
      <c r="A184" s="303"/>
      <c r="B184" s="304"/>
      <c r="C184" s="305"/>
      <c r="D184" s="306"/>
      <c r="E184" s="307"/>
      <c r="F184" s="216"/>
      <c r="G184" s="217"/>
    </row>
    <row r="185" spans="1:7" s="256" customFormat="1" ht="33" customHeight="1">
      <c r="A185" s="47" t="s">
        <v>40</v>
      </c>
      <c r="B185" s="43"/>
      <c r="C185" s="308" t="s">
        <v>593</v>
      </c>
      <c r="D185" s="260" t="s">
        <v>19</v>
      </c>
      <c r="E185" s="310">
        <v>3.86</v>
      </c>
      <c r="F185" s="310"/>
      <c r="G185" s="34">
        <f aca="true" t="shared" si="5" ref="G185:G198">$E185*F185</f>
        <v>0</v>
      </c>
    </row>
    <row r="186" spans="1:7" s="256" customFormat="1" ht="16.5" customHeight="1">
      <c r="A186" s="47" t="s">
        <v>580</v>
      </c>
      <c r="B186" s="592"/>
      <c r="C186" s="558" t="s">
        <v>594</v>
      </c>
      <c r="D186" s="260" t="s">
        <v>19</v>
      </c>
      <c r="E186" s="593">
        <v>0.43</v>
      </c>
      <c r="F186" s="593"/>
      <c r="G186" s="34">
        <f t="shared" si="5"/>
        <v>0</v>
      </c>
    </row>
    <row r="187" spans="1:7" s="256" customFormat="1" ht="27" customHeight="1">
      <c r="A187" s="47" t="s">
        <v>581</v>
      </c>
      <c r="B187" s="592"/>
      <c r="C187" s="558" t="s">
        <v>595</v>
      </c>
      <c r="D187" s="572" t="s">
        <v>596</v>
      </c>
      <c r="E187" s="593">
        <v>11.1</v>
      </c>
      <c r="F187" s="593"/>
      <c r="G187" s="34">
        <f t="shared" si="5"/>
        <v>0</v>
      </c>
    </row>
    <row r="188" spans="1:7" s="256" customFormat="1" ht="27" customHeight="1">
      <c r="A188" s="47" t="s">
        <v>582</v>
      </c>
      <c r="B188" s="592"/>
      <c r="C188" s="558" t="s">
        <v>597</v>
      </c>
      <c r="D188" s="572" t="s">
        <v>104</v>
      </c>
      <c r="E188" s="593">
        <v>8.24</v>
      </c>
      <c r="F188" s="593"/>
      <c r="G188" s="34">
        <f t="shared" si="5"/>
        <v>0</v>
      </c>
    </row>
    <row r="189" spans="1:7" s="256" customFormat="1" ht="27" customHeight="1">
      <c r="A189" s="47" t="s">
        <v>583</v>
      </c>
      <c r="B189" s="592"/>
      <c r="C189" s="558" t="s">
        <v>598</v>
      </c>
      <c r="D189" s="572" t="s">
        <v>18</v>
      </c>
      <c r="E189" s="593">
        <v>145</v>
      </c>
      <c r="F189" s="593"/>
      <c r="G189" s="34">
        <f t="shared" si="5"/>
        <v>0</v>
      </c>
    </row>
    <row r="190" spans="1:7" s="256" customFormat="1" ht="27" customHeight="1">
      <c r="A190" s="47" t="s">
        <v>584</v>
      </c>
      <c r="B190" s="592"/>
      <c r="C190" s="558" t="s">
        <v>599</v>
      </c>
      <c r="D190" s="572" t="s">
        <v>20</v>
      </c>
      <c r="E190" s="593">
        <v>656.5</v>
      </c>
      <c r="F190" s="593"/>
      <c r="G190" s="34">
        <f t="shared" si="5"/>
        <v>0</v>
      </c>
    </row>
    <row r="191" spans="1:7" s="256" customFormat="1" ht="27" customHeight="1">
      <c r="A191" s="47" t="s">
        <v>585</v>
      </c>
      <c r="B191" s="592"/>
      <c r="C191" s="558" t="s">
        <v>600</v>
      </c>
      <c r="D191" s="572" t="s">
        <v>19</v>
      </c>
      <c r="E191" s="593">
        <v>13.57</v>
      </c>
      <c r="F191" s="593"/>
      <c r="G191" s="34">
        <f t="shared" si="5"/>
        <v>0</v>
      </c>
    </row>
    <row r="192" spans="1:7" s="256" customFormat="1" ht="27" customHeight="1">
      <c r="A192" s="47" t="s">
        <v>586</v>
      </c>
      <c r="B192" s="592"/>
      <c r="C192" s="558" t="s">
        <v>601</v>
      </c>
      <c r="D192" s="572" t="s">
        <v>23</v>
      </c>
      <c r="E192" s="593">
        <v>2</v>
      </c>
      <c r="F192" s="593"/>
      <c r="G192" s="34">
        <f t="shared" si="5"/>
        <v>0</v>
      </c>
    </row>
    <row r="193" spans="1:7" s="256" customFormat="1" ht="27" customHeight="1">
      <c r="A193" s="47" t="s">
        <v>587</v>
      </c>
      <c r="B193" s="592"/>
      <c r="C193" s="558" t="s">
        <v>602</v>
      </c>
      <c r="D193" s="572" t="s">
        <v>104</v>
      </c>
      <c r="E193" s="593">
        <v>7.83</v>
      </c>
      <c r="F193" s="593"/>
      <c r="G193" s="34">
        <f t="shared" si="5"/>
        <v>0</v>
      </c>
    </row>
    <row r="194" spans="1:7" s="256" customFormat="1" ht="27" customHeight="1">
      <c r="A194" s="47" t="s">
        <v>588</v>
      </c>
      <c r="B194" s="592"/>
      <c r="C194" s="558" t="s">
        <v>603</v>
      </c>
      <c r="D194" s="572" t="s">
        <v>104</v>
      </c>
      <c r="E194" s="593">
        <v>5.15</v>
      </c>
      <c r="F194" s="593"/>
      <c r="G194" s="34">
        <f t="shared" si="5"/>
        <v>0</v>
      </c>
    </row>
    <row r="195" spans="1:7" s="256" customFormat="1" ht="27" customHeight="1">
      <c r="A195" s="47" t="s">
        <v>589</v>
      </c>
      <c r="B195" s="592"/>
      <c r="C195" s="558" t="s">
        <v>604</v>
      </c>
      <c r="D195" s="572" t="s">
        <v>104</v>
      </c>
      <c r="E195" s="593">
        <v>8.24</v>
      </c>
      <c r="F195" s="593"/>
      <c r="G195" s="34">
        <f t="shared" si="5"/>
        <v>0</v>
      </c>
    </row>
    <row r="196" spans="1:7" s="256" customFormat="1" ht="37.5" customHeight="1">
      <c r="A196" s="47" t="s">
        <v>590</v>
      </c>
      <c r="B196" s="592"/>
      <c r="C196" s="558" t="s">
        <v>605</v>
      </c>
      <c r="D196" s="572" t="s">
        <v>20</v>
      </c>
      <c r="E196" s="593">
        <v>16.16</v>
      </c>
      <c r="F196" s="593"/>
      <c r="G196" s="34">
        <f t="shared" si="5"/>
        <v>0</v>
      </c>
    </row>
    <row r="197" spans="1:7" s="256" customFormat="1" ht="37.5" customHeight="1">
      <c r="A197" s="47" t="s">
        <v>591</v>
      </c>
      <c r="B197" s="592"/>
      <c r="C197" s="558" t="s">
        <v>606</v>
      </c>
      <c r="D197" s="260" t="s">
        <v>19</v>
      </c>
      <c r="E197" s="593">
        <v>11.61</v>
      </c>
      <c r="F197" s="593"/>
      <c r="G197" s="34">
        <f t="shared" si="5"/>
        <v>0</v>
      </c>
    </row>
    <row r="198" spans="1:7" s="256" customFormat="1" ht="27" customHeight="1">
      <c r="A198" s="47" t="s">
        <v>592</v>
      </c>
      <c r="B198" s="592"/>
      <c r="C198" s="558" t="s">
        <v>607</v>
      </c>
      <c r="D198" s="260" t="s">
        <v>19</v>
      </c>
      <c r="E198" s="593">
        <v>6.18</v>
      </c>
      <c r="F198" s="593"/>
      <c r="G198" s="34">
        <f t="shared" si="5"/>
        <v>0</v>
      </c>
    </row>
    <row r="199" spans="1:7" s="256" customFormat="1" ht="12" customHeight="1" thickBot="1">
      <c r="A199" s="270"/>
      <c r="B199" s="316"/>
      <c r="C199" s="272"/>
      <c r="D199" s="273"/>
      <c r="E199" s="317"/>
      <c r="F199" s="292"/>
      <c r="G199" s="275"/>
    </row>
    <row r="200" spans="1:7" s="99" customFormat="1" ht="16.5" customHeight="1" thickBot="1">
      <c r="A200" s="318"/>
      <c r="B200" s="319"/>
      <c r="C200" s="239" t="s">
        <v>24</v>
      </c>
      <c r="D200" s="240"/>
      <c r="E200" s="320"/>
      <c r="F200" s="242"/>
      <c r="G200" s="89">
        <f>SUBTOTAL(9,G184:G199)</f>
        <v>0</v>
      </c>
    </row>
    <row r="201" spans="1:7" s="99" customFormat="1" ht="13.7" customHeight="1" thickBot="1">
      <c r="A201" s="321"/>
      <c r="B201" s="279"/>
      <c r="C201" s="246"/>
      <c r="D201" s="246"/>
      <c r="E201" s="322"/>
      <c r="F201" s="200"/>
      <c r="G201" s="201"/>
    </row>
    <row r="202" spans="1:7" s="210" customFormat="1" ht="16.5" customHeight="1" thickBot="1">
      <c r="A202" s="202" t="s">
        <v>41</v>
      </c>
      <c r="B202" s="203"/>
      <c r="C202" s="204" t="s">
        <v>373</v>
      </c>
      <c r="D202" s="205"/>
      <c r="E202" s="206"/>
      <c r="F202" s="207"/>
      <c r="G202" s="208"/>
    </row>
    <row r="203" spans="1:7" s="99" customFormat="1" ht="12" customHeight="1">
      <c r="A203" s="303"/>
      <c r="B203" s="304"/>
      <c r="C203" s="305"/>
      <c r="D203" s="306"/>
      <c r="E203" s="328"/>
      <c r="F203" s="329"/>
      <c r="G203" s="330"/>
    </row>
    <row r="204" spans="1:7" s="256" customFormat="1" ht="18.75" customHeight="1">
      <c r="A204" s="301" t="s">
        <v>42</v>
      </c>
      <c r="B204" s="331"/>
      <c r="C204" s="332" t="s">
        <v>608</v>
      </c>
      <c r="D204" s="260" t="s">
        <v>49</v>
      </c>
      <c r="E204" s="334">
        <v>0.2</v>
      </c>
      <c r="F204" s="335"/>
      <c r="G204" s="34">
        <f aca="true" t="shared" si="6" ref="G204">$E204*F204</f>
        <v>0</v>
      </c>
    </row>
    <row r="205" spans="1:7" s="99" customFormat="1" ht="12" customHeight="1" thickBot="1">
      <c r="A205" s="180"/>
      <c r="B205" s="323"/>
      <c r="C205" s="234"/>
      <c r="D205" s="235"/>
      <c r="E205" s="324"/>
      <c r="F205" s="184"/>
      <c r="G205" s="185"/>
    </row>
    <row r="206" spans="1:7" s="99" customFormat="1" ht="16.5" customHeight="1" thickBot="1">
      <c r="A206" s="318"/>
      <c r="B206" s="319"/>
      <c r="C206" s="239" t="s">
        <v>24</v>
      </c>
      <c r="D206" s="240"/>
      <c r="E206" s="320"/>
      <c r="F206" s="242"/>
      <c r="G206" s="89">
        <f>SUBTOTAL(9,G203:G205)</f>
        <v>0</v>
      </c>
    </row>
    <row r="207" spans="1:7" s="99" customFormat="1" ht="13.7" customHeight="1" thickBot="1">
      <c r="A207" s="321"/>
      <c r="B207" s="279"/>
      <c r="C207" s="246"/>
      <c r="D207" s="246"/>
      <c r="E207" s="322"/>
      <c r="F207" s="200"/>
      <c r="G207" s="201"/>
    </row>
    <row r="208" spans="1:7" s="355" customFormat="1" ht="30.75" customHeight="1" thickBot="1">
      <c r="A208" s="186"/>
      <c r="B208" s="348"/>
      <c r="C208" s="349" t="s">
        <v>53</v>
      </c>
      <c r="D208" s="349"/>
      <c r="E208" s="350"/>
      <c r="F208" s="351"/>
      <c r="G208" s="352">
        <f>SUBTOTAL(9,G24:G207)</f>
        <v>0</v>
      </c>
    </row>
    <row r="209" ht="12.75">
      <c r="E209" s="359"/>
    </row>
    <row r="210" ht="12.75">
      <c r="E210" s="359"/>
    </row>
    <row r="211" ht="12.75">
      <c r="E211" s="359"/>
    </row>
    <row r="212" ht="12.75">
      <c r="E212" s="359"/>
    </row>
    <row r="213" ht="12.75">
      <c r="E213" s="359"/>
    </row>
    <row r="214" ht="12.75">
      <c r="E214" s="359"/>
    </row>
    <row r="215" ht="12.75">
      <c r="E215" s="359"/>
    </row>
    <row r="216" spans="1:24" s="360" customFormat="1" ht="12.75">
      <c r="A216" s="357"/>
      <c r="B216" s="358"/>
      <c r="C216" s="104"/>
      <c r="D216" s="104"/>
      <c r="E216" s="359"/>
      <c r="G216" s="105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</row>
    <row r="217" spans="1:24" s="360" customFormat="1" ht="12.75">
      <c r="A217" s="357"/>
      <c r="B217" s="358"/>
      <c r="C217" s="104"/>
      <c r="D217" s="104"/>
      <c r="E217" s="359"/>
      <c r="G217" s="105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</row>
    <row r="218" spans="1:24" s="360" customFormat="1" ht="12.75">
      <c r="A218" s="357"/>
      <c r="B218" s="358"/>
      <c r="C218" s="104"/>
      <c r="D218" s="104"/>
      <c r="E218" s="359"/>
      <c r="G218" s="105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</row>
    <row r="219" spans="1:24" s="360" customFormat="1" ht="12.75">
      <c r="A219" s="357"/>
      <c r="B219" s="358"/>
      <c r="C219" s="104"/>
      <c r="D219" s="104"/>
      <c r="E219" s="359"/>
      <c r="G219" s="105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</row>
    <row r="220" spans="1:24" s="360" customFormat="1" ht="12.75">
      <c r="A220" s="357"/>
      <c r="B220" s="358"/>
      <c r="C220" s="104"/>
      <c r="D220" s="104"/>
      <c r="E220" s="359"/>
      <c r="G220" s="105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</row>
    <row r="221" spans="1:24" s="360" customFormat="1" ht="12.75">
      <c r="A221" s="357"/>
      <c r="B221" s="358"/>
      <c r="C221" s="104"/>
      <c r="D221" s="104"/>
      <c r="E221" s="359"/>
      <c r="G221" s="105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</row>
    <row r="222" spans="1:24" s="360" customFormat="1" ht="12.75">
      <c r="A222" s="357"/>
      <c r="B222" s="358"/>
      <c r="C222" s="104"/>
      <c r="D222" s="104"/>
      <c r="E222" s="359"/>
      <c r="G222" s="105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</row>
    <row r="223" spans="1:24" s="360" customFormat="1" ht="12.75">
      <c r="A223" s="357"/>
      <c r="B223" s="358"/>
      <c r="C223" s="104"/>
      <c r="D223" s="104"/>
      <c r="E223" s="359"/>
      <c r="G223" s="105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</row>
    <row r="224" spans="1:24" s="360" customFormat="1" ht="12.75">
      <c r="A224" s="357"/>
      <c r="B224" s="358"/>
      <c r="C224" s="104"/>
      <c r="D224" s="104"/>
      <c r="E224" s="359"/>
      <c r="G224" s="105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</row>
    <row r="225" spans="1:24" s="360" customFormat="1" ht="12.75">
      <c r="A225" s="357"/>
      <c r="B225" s="358"/>
      <c r="C225" s="104"/>
      <c r="D225" s="104"/>
      <c r="E225" s="359"/>
      <c r="G225" s="105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</row>
    <row r="226" spans="1:24" s="360" customFormat="1" ht="12.75">
      <c r="A226" s="357"/>
      <c r="B226" s="358"/>
      <c r="C226" s="104"/>
      <c r="D226" s="104"/>
      <c r="E226" s="359"/>
      <c r="G226" s="105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</row>
    <row r="227" spans="1:24" s="360" customFormat="1" ht="12.75">
      <c r="A227" s="357"/>
      <c r="B227" s="358"/>
      <c r="C227" s="104"/>
      <c r="D227" s="104"/>
      <c r="E227" s="359"/>
      <c r="G227" s="105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</row>
    <row r="228" spans="1:24" s="360" customFormat="1" ht="12.75">
      <c r="A228" s="357"/>
      <c r="B228" s="358"/>
      <c r="C228" s="104"/>
      <c r="D228" s="104"/>
      <c r="E228" s="359"/>
      <c r="G228" s="105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</row>
    <row r="229" spans="1:24" s="360" customFormat="1" ht="12.75">
      <c r="A229" s="357"/>
      <c r="B229" s="358"/>
      <c r="C229" s="104"/>
      <c r="D229" s="104"/>
      <c r="E229" s="359"/>
      <c r="G229" s="105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</row>
    <row r="230" spans="1:24" s="360" customFormat="1" ht="12.75">
      <c r="A230" s="357"/>
      <c r="B230" s="358"/>
      <c r="C230" s="104"/>
      <c r="D230" s="104"/>
      <c r="E230" s="359"/>
      <c r="G230" s="105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</row>
    <row r="231" spans="1:24" s="360" customFormat="1" ht="12.75">
      <c r="A231" s="357"/>
      <c r="B231" s="358"/>
      <c r="C231" s="104"/>
      <c r="D231" s="104"/>
      <c r="E231" s="359"/>
      <c r="G231" s="105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</row>
    <row r="232" spans="1:24" s="360" customFormat="1" ht="12.75">
      <c r="A232" s="357"/>
      <c r="B232" s="358"/>
      <c r="C232" s="104"/>
      <c r="D232" s="104"/>
      <c r="E232" s="359"/>
      <c r="G232" s="105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</row>
    <row r="233" spans="1:24" s="360" customFormat="1" ht="12.75">
      <c r="A233" s="357"/>
      <c r="B233" s="358"/>
      <c r="C233" s="104"/>
      <c r="D233" s="104"/>
      <c r="E233" s="359"/>
      <c r="G233" s="105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</row>
    <row r="234" spans="1:24" s="360" customFormat="1" ht="12.75">
      <c r="A234" s="357"/>
      <c r="B234" s="358"/>
      <c r="C234" s="104"/>
      <c r="D234" s="104"/>
      <c r="E234" s="359"/>
      <c r="G234" s="105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</row>
    <row r="235" spans="1:24" s="360" customFormat="1" ht="12.75">
      <c r="A235" s="357"/>
      <c r="B235" s="358"/>
      <c r="C235" s="104"/>
      <c r="D235" s="104"/>
      <c r="E235" s="359"/>
      <c r="G235" s="105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</row>
    <row r="236" spans="1:24" s="360" customFormat="1" ht="12.75">
      <c r="A236" s="357"/>
      <c r="B236" s="358"/>
      <c r="C236" s="104"/>
      <c r="D236" s="104"/>
      <c r="E236" s="359"/>
      <c r="G236" s="105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</row>
    <row r="237" spans="1:24" s="360" customFormat="1" ht="12.75">
      <c r="A237" s="357"/>
      <c r="B237" s="358"/>
      <c r="C237" s="104"/>
      <c r="D237" s="104"/>
      <c r="E237" s="359"/>
      <c r="G237" s="105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</row>
    <row r="238" spans="1:24" s="360" customFormat="1" ht="12.75">
      <c r="A238" s="357"/>
      <c r="B238" s="358"/>
      <c r="C238" s="104"/>
      <c r="D238" s="104"/>
      <c r="E238" s="359"/>
      <c r="G238" s="105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</row>
    <row r="239" spans="1:24" s="360" customFormat="1" ht="12.75">
      <c r="A239" s="357"/>
      <c r="B239" s="358"/>
      <c r="C239" s="104"/>
      <c r="D239" s="104"/>
      <c r="E239" s="359"/>
      <c r="G239" s="105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</row>
    <row r="240" spans="1:24" s="360" customFormat="1" ht="12.75">
      <c r="A240" s="357"/>
      <c r="B240" s="358"/>
      <c r="C240" s="104"/>
      <c r="D240" s="104"/>
      <c r="E240" s="359"/>
      <c r="G240" s="105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</row>
    <row r="241" spans="1:24" s="360" customFormat="1" ht="12.75">
      <c r="A241" s="357"/>
      <c r="B241" s="358"/>
      <c r="C241" s="104"/>
      <c r="D241" s="104"/>
      <c r="E241" s="359"/>
      <c r="G241" s="105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</row>
    <row r="242" spans="1:24" s="360" customFormat="1" ht="12.75">
      <c r="A242" s="357"/>
      <c r="B242" s="358"/>
      <c r="C242" s="104"/>
      <c r="D242" s="104"/>
      <c r="E242" s="359"/>
      <c r="G242" s="105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</row>
    <row r="243" spans="1:24" s="360" customFormat="1" ht="12.75">
      <c r="A243" s="357"/>
      <c r="B243" s="358"/>
      <c r="C243" s="104"/>
      <c r="D243" s="104"/>
      <c r="E243" s="359"/>
      <c r="G243" s="105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</row>
    <row r="244" spans="1:24" s="360" customFormat="1" ht="12.75">
      <c r="A244" s="357"/>
      <c r="B244" s="358"/>
      <c r="C244" s="104"/>
      <c r="D244" s="104"/>
      <c r="E244" s="359"/>
      <c r="G244" s="105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</row>
    <row r="245" spans="1:24" s="360" customFormat="1" ht="12.75">
      <c r="A245" s="357"/>
      <c r="B245" s="358"/>
      <c r="C245" s="104"/>
      <c r="D245" s="104"/>
      <c r="E245" s="359"/>
      <c r="G245" s="105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</row>
    <row r="246" spans="1:24" s="360" customFormat="1" ht="12.75">
      <c r="A246" s="357"/>
      <c r="B246" s="358"/>
      <c r="C246" s="104"/>
      <c r="D246" s="104"/>
      <c r="E246" s="359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</row>
    <row r="247" spans="1:24" s="360" customFormat="1" ht="12.75">
      <c r="A247" s="357"/>
      <c r="B247" s="358"/>
      <c r="C247" s="104"/>
      <c r="D247" s="104"/>
      <c r="E247" s="359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</row>
    <row r="248" spans="1:24" s="360" customFormat="1" ht="12.75">
      <c r="A248" s="357"/>
      <c r="B248" s="358"/>
      <c r="C248" s="104"/>
      <c r="D248" s="104"/>
      <c r="E248" s="359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</row>
    <row r="249" spans="1:24" s="360" customFormat="1" ht="12.75">
      <c r="A249" s="357"/>
      <c r="B249" s="358"/>
      <c r="C249" s="104"/>
      <c r="D249" s="104"/>
      <c r="E249" s="359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</row>
    <row r="250" spans="1:24" s="360" customFormat="1" ht="12.75">
      <c r="A250" s="357"/>
      <c r="B250" s="358"/>
      <c r="C250" s="104"/>
      <c r="D250" s="104"/>
      <c r="E250" s="359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</row>
    <row r="251" spans="1:24" s="360" customFormat="1" ht="12.75">
      <c r="A251" s="357"/>
      <c r="B251" s="358"/>
      <c r="C251" s="104"/>
      <c r="D251" s="104"/>
      <c r="E251" s="359"/>
      <c r="G251" s="105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</row>
    <row r="252" spans="1:24" s="360" customFormat="1" ht="12.75">
      <c r="A252" s="357"/>
      <c r="B252" s="358"/>
      <c r="C252" s="104"/>
      <c r="D252" s="104"/>
      <c r="E252" s="359"/>
      <c r="G252" s="105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</row>
    <row r="253" spans="1:24" s="360" customFormat="1" ht="12.75">
      <c r="A253" s="357"/>
      <c r="B253" s="358"/>
      <c r="C253" s="104"/>
      <c r="D253" s="104"/>
      <c r="E253" s="359"/>
      <c r="G253" s="105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</row>
    <row r="254" spans="1:24" s="360" customFormat="1" ht="12.75">
      <c r="A254" s="357"/>
      <c r="B254" s="358"/>
      <c r="C254" s="104"/>
      <c r="D254" s="104"/>
      <c r="E254" s="359"/>
      <c r="G254" s="105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</row>
    <row r="255" spans="1:24" s="360" customFormat="1" ht="12.75">
      <c r="A255" s="357"/>
      <c r="B255" s="358"/>
      <c r="C255" s="104"/>
      <c r="D255" s="104"/>
      <c r="E255" s="359"/>
      <c r="G255" s="105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</row>
    <row r="256" spans="1:24" s="360" customFormat="1" ht="12.75">
      <c r="A256" s="357"/>
      <c r="B256" s="358"/>
      <c r="C256" s="104"/>
      <c r="D256" s="104"/>
      <c r="E256" s="359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</row>
    <row r="257" spans="1:24" s="360" customFormat="1" ht="12.75">
      <c r="A257" s="357"/>
      <c r="B257" s="358"/>
      <c r="C257" s="104"/>
      <c r="D257" s="104"/>
      <c r="E257" s="359"/>
      <c r="G257" s="105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</row>
    <row r="258" spans="1:24" s="360" customFormat="1" ht="12.75">
      <c r="A258" s="357"/>
      <c r="B258" s="358"/>
      <c r="C258" s="104"/>
      <c r="D258" s="104"/>
      <c r="E258" s="359"/>
      <c r="G258" s="105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</row>
    <row r="259" spans="1:24" s="360" customFormat="1" ht="12.75">
      <c r="A259" s="357"/>
      <c r="B259" s="358"/>
      <c r="C259" s="104"/>
      <c r="D259" s="104"/>
      <c r="E259" s="359"/>
      <c r="G259" s="105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</row>
    <row r="260" spans="1:24" s="360" customFormat="1" ht="12.75">
      <c r="A260" s="357"/>
      <c r="B260" s="358"/>
      <c r="C260" s="104"/>
      <c r="D260" s="104"/>
      <c r="E260" s="359"/>
      <c r="G260" s="105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</row>
    <row r="261" spans="1:24" s="360" customFormat="1" ht="12.75">
      <c r="A261" s="357"/>
      <c r="B261" s="358"/>
      <c r="C261" s="104"/>
      <c r="D261" s="104"/>
      <c r="E261" s="359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</row>
    <row r="262" spans="1:24" s="360" customFormat="1" ht="12.75">
      <c r="A262" s="357"/>
      <c r="B262" s="358"/>
      <c r="C262" s="104"/>
      <c r="D262" s="104"/>
      <c r="E262" s="359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</row>
    <row r="263" spans="1:24" s="360" customFormat="1" ht="12.75">
      <c r="A263" s="357"/>
      <c r="B263" s="358"/>
      <c r="C263" s="104"/>
      <c r="D263" s="104"/>
      <c r="E263" s="359"/>
      <c r="G263" s="105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</row>
    <row r="264" spans="1:24" s="360" customFormat="1" ht="12.75">
      <c r="A264" s="357"/>
      <c r="B264" s="358"/>
      <c r="C264" s="104"/>
      <c r="D264" s="104"/>
      <c r="E264" s="359"/>
      <c r="G264" s="105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</row>
    <row r="265" spans="1:24" s="360" customFormat="1" ht="12.75">
      <c r="A265" s="357"/>
      <c r="B265" s="358"/>
      <c r="C265" s="104"/>
      <c r="D265" s="104"/>
      <c r="E265" s="359"/>
      <c r="G265" s="105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</row>
    <row r="266" spans="1:24" s="360" customFormat="1" ht="12.75">
      <c r="A266" s="357"/>
      <c r="B266" s="358"/>
      <c r="C266" s="104"/>
      <c r="D266" s="104"/>
      <c r="E266" s="359"/>
      <c r="G266" s="105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</row>
    <row r="267" spans="1:24" s="360" customFormat="1" ht="12.75">
      <c r="A267" s="357"/>
      <c r="B267" s="358"/>
      <c r="C267" s="104"/>
      <c r="D267" s="104"/>
      <c r="E267" s="359"/>
      <c r="G267" s="105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</row>
    <row r="268" spans="1:24" s="360" customFormat="1" ht="12.75">
      <c r="A268" s="357"/>
      <c r="B268" s="358"/>
      <c r="C268" s="104"/>
      <c r="D268" s="104"/>
      <c r="E268" s="359"/>
      <c r="G268" s="105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</row>
    <row r="269" spans="1:24" s="360" customFormat="1" ht="12.75">
      <c r="A269" s="357"/>
      <c r="B269" s="358"/>
      <c r="C269" s="104"/>
      <c r="D269" s="104"/>
      <c r="E269" s="359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</row>
    <row r="270" spans="1:24" s="360" customFormat="1" ht="12.75">
      <c r="A270" s="357"/>
      <c r="B270" s="358"/>
      <c r="C270" s="104"/>
      <c r="D270" s="104"/>
      <c r="E270" s="359"/>
      <c r="G270" s="105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</row>
    <row r="271" spans="1:24" s="360" customFormat="1" ht="12.75">
      <c r="A271" s="357"/>
      <c r="B271" s="358"/>
      <c r="C271" s="104"/>
      <c r="D271" s="104"/>
      <c r="E271" s="359"/>
      <c r="G271" s="105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</row>
  </sheetData>
  <mergeCells count="1">
    <mergeCell ref="C3:D3"/>
  </mergeCells>
  <printOptions/>
  <pageMargins left="0.4724409448818898" right="0.31496062992125984" top="0.6692913385826772" bottom="0.9448818897637796" header="0.4724409448818898" footer="0.4724409448818898"/>
  <pageSetup fitToHeight="99" horizontalDpi="600" verticalDpi="600" orientation="portrait" paperSize="9" scale="80" r:id="rId1"/>
  <headerFooter alignWithMargins="0">
    <oddFooter>&amp;L&amp;F
&amp;A&amp;C&amp;P/&amp;N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</dc:creator>
  <cp:keywords/>
  <dc:description/>
  <cp:lastModifiedBy>Zdena</cp:lastModifiedBy>
  <cp:lastPrinted>2016-04-18T07:04:12Z</cp:lastPrinted>
  <dcterms:created xsi:type="dcterms:W3CDTF">2016-04-16T03:39:48Z</dcterms:created>
  <dcterms:modified xsi:type="dcterms:W3CDTF">2018-05-27T20:58:22Z</dcterms:modified>
  <cp:category/>
  <cp:version/>
  <cp:contentType/>
  <cp:contentStatus/>
</cp:coreProperties>
</file>