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<sst xmlns="http://schemas.openxmlformats.org/spreadsheetml/2006/main" count="595" uniqueCount="301">
  <si>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</si>
  <si>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</si>
  <si>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</si>
  <si>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</si>
  <si>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</si>
  <si>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</si>
  <si>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</si>
  <si>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</si>
  <si>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</si>
  <si>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</si>
  <si>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</si>
  <si>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</si>
  <si>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</si>
  <si>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</si>
  <si>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</si>
  <si>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</si>
  <si>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</si>
  <si>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</si>
  <si>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</si>
  <si>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</si>
  <si>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</si>
  <si>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</si>
  <si>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</si>
  <si>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</si>
  <si>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</si>
  <si>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</si>
  <si>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</si>
  <si>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</si>
  <si>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</si>
  <si>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</si>
  <si>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</si>
  <si>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</si>
  <si>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</si>
  <si>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</si>
  <si>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</si>
  <si>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</si>
  <si>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</si>
  <si>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</si>
  <si>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</si>
  <si>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</si>
  <si>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</si>
  <si>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</si>
  <si>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</si>
  <si>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</si>
  <si>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</si>
  <si>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</si>
  <si>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</si>
  <si>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</si>
  <si>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</si>
  <si>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</si>
  <si>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</si>
  <si>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</si>
  <si>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</si>
  <si>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</si>
  <si>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</si>
  <si>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</si>
  <si>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</si>
  <si>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</si>
  <si>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</si>
  <si>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</si>
  <si>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</si>
  <si>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Poznámka:</t>
  </si>
  <si>
    <t>Objekt</t>
  </si>
  <si>
    <t>Kód</t>
  </si>
  <si>
    <t>115101241R00</t>
  </si>
  <si>
    <t>113107212R00</t>
  </si>
  <si>
    <t>113151119R00</t>
  </si>
  <si>
    <t>111</t>
  </si>
  <si>
    <t>111000001VD</t>
  </si>
  <si>
    <t>111000004VD</t>
  </si>
  <si>
    <t>111000005VD</t>
  </si>
  <si>
    <t>132201211R00</t>
  </si>
  <si>
    <t>132201219R00</t>
  </si>
  <si>
    <t>130001101R00</t>
  </si>
  <si>
    <t>151101102R00</t>
  </si>
  <si>
    <t>151101112R00</t>
  </si>
  <si>
    <t>161101102R00</t>
  </si>
  <si>
    <t>162701105R00</t>
  </si>
  <si>
    <t>162702199R00</t>
  </si>
  <si>
    <t>162701109R00</t>
  </si>
  <si>
    <t>175101101RT2</t>
  </si>
  <si>
    <t>174101101R00</t>
  </si>
  <si>
    <t>56</t>
  </si>
  <si>
    <t>564861111R00</t>
  </si>
  <si>
    <t>567122111R00</t>
  </si>
  <si>
    <t>565161111R00</t>
  </si>
  <si>
    <t>57</t>
  </si>
  <si>
    <t>573111111R00</t>
  </si>
  <si>
    <t>573211111R00</t>
  </si>
  <si>
    <t>577112113R00</t>
  </si>
  <si>
    <t>87</t>
  </si>
  <si>
    <t>871393121R00</t>
  </si>
  <si>
    <t>286111941</t>
  </si>
  <si>
    <t>286111942</t>
  </si>
  <si>
    <t>286111943</t>
  </si>
  <si>
    <t>877393121RT2</t>
  </si>
  <si>
    <t>877393121RT3</t>
  </si>
  <si>
    <t>89</t>
  </si>
  <si>
    <t>998276101R00</t>
  </si>
  <si>
    <t>899103111RT2</t>
  </si>
  <si>
    <t>892595111R00</t>
  </si>
  <si>
    <t>894411131R00</t>
  </si>
  <si>
    <t>59224175</t>
  </si>
  <si>
    <t>59224176</t>
  </si>
  <si>
    <t>59224177</t>
  </si>
  <si>
    <t>59224106</t>
  </si>
  <si>
    <t>59224102</t>
  </si>
  <si>
    <t>59224329.A</t>
  </si>
  <si>
    <t>96</t>
  </si>
  <si>
    <t>969021131R00</t>
  </si>
  <si>
    <t>H22</t>
  </si>
  <si>
    <t>998222011R00</t>
  </si>
  <si>
    <t>998222094R00</t>
  </si>
  <si>
    <t>998224111R00</t>
  </si>
  <si>
    <t>998224195R00</t>
  </si>
  <si>
    <t>998225111R00</t>
  </si>
  <si>
    <t>998225194R00</t>
  </si>
  <si>
    <t>H27</t>
  </si>
  <si>
    <t>998271301R00</t>
  </si>
  <si>
    <t>998271318R00</t>
  </si>
  <si>
    <t>S</t>
  </si>
  <si>
    <t>979013312R00</t>
  </si>
  <si>
    <t>979083117R00</t>
  </si>
  <si>
    <t>979083191R00</t>
  </si>
  <si>
    <t>979093111R00</t>
  </si>
  <si>
    <t>979990111R00</t>
  </si>
  <si>
    <t>979990103R00</t>
  </si>
  <si>
    <t>979990112R00</t>
  </si>
  <si>
    <t>REKONSTRUKCE KANALIZAČNÍ STOKY "CHIVa.2"</t>
  </si>
  <si>
    <t>UL. CHELČICKÉHO a UL. ŠTÍTNÉHO, MĚSTO KOLÍN</t>
  </si>
  <si>
    <t>Zkrácený popis</t>
  </si>
  <si>
    <t>Rozměry</t>
  </si>
  <si>
    <t>Přípravné a přidružené práce</t>
  </si>
  <si>
    <t>Čerpání vody na výšku 25 - 50 m, přítok do 500 l</t>
  </si>
  <si>
    <t>Odstranění podkladu nad 200 m2,kam.těžené tl.20 cm x 2 vrstvy</t>
  </si>
  <si>
    <t>Fréz.živič.krytu pl.do 500 m2,pruh do 75cm,tl.10cm</t>
  </si>
  <si>
    <t>Přípravné a pomocné práce</t>
  </si>
  <si>
    <t>Vytyčení stáv.inž.sítí,vl.vyt.kan.splaš.</t>
  </si>
  <si>
    <t>Zaměření stavby v syst.Microstration</t>
  </si>
  <si>
    <t>Kamerová zkouška průch.kanal.potrubí vč.záznamu</t>
  </si>
  <si>
    <t>Hloubené vykopávky</t>
  </si>
  <si>
    <t>Hloubení rýh š.do 200 cm hor.3 do 100 m3,STROJNĚ</t>
  </si>
  <si>
    <t>Příplatek za lepivost - hloubení rýh 200cm v hor.3</t>
  </si>
  <si>
    <t>Příplatek za ztížené hloubení v blízkosti vedení</t>
  </si>
  <si>
    <t>Roubení</t>
  </si>
  <si>
    <t>Pažení a rozepření stěn rýh - příložné - hl. do 4m</t>
  </si>
  <si>
    <t>Odstranění pažení stěn rýh - příložné - hl. do 4 m</t>
  </si>
  <si>
    <t>Přemístění výkopku</t>
  </si>
  <si>
    <t>Svislé přemístění výkopku z hor.1-4 do 4,0 m</t>
  </si>
  <si>
    <t>Vodorovné přemístění výkopku z hor.1-4 do 10000 m</t>
  </si>
  <si>
    <t>Poplatek za skládku zeminy</t>
  </si>
  <si>
    <t>Příplatek k vod. přemístění zem.1-4 za další 1 km</t>
  </si>
  <si>
    <t>Konstrukce ze zemin</t>
  </si>
  <si>
    <t>Podsyp a obsyp potrubí bez prohození sypaniny s dodáním prosívky, s dodáním štěrkopísku frakce 0 - 22 mm</t>
  </si>
  <si>
    <t>Zásyp jam, rýh, šachet se zhutněním</t>
  </si>
  <si>
    <t>Podkladní vrstvy komunikací a zpevněných ploch</t>
  </si>
  <si>
    <t>Podklad ze štěrkodrti po zhutnění tloušťky 20 cm</t>
  </si>
  <si>
    <t>Podklad z kameniva zpev.cementem KZC 1 tl.12 cm</t>
  </si>
  <si>
    <t>Podklad z obal kam.ACP 16+, do 3 m,tl. 8 cm</t>
  </si>
  <si>
    <t>Kryty štěrkových a živičných pozemních komunikací a zpevněných ploch</t>
  </si>
  <si>
    <t>Postřik živičný infiltr.+ posyp, asfalt. 0,60kg/m2</t>
  </si>
  <si>
    <t>Postřik živičný spojovací z asfaltu 0,5-0,7 kg/m2</t>
  </si>
  <si>
    <t>Beton asfalt. ACO 11 S modifik. š. do 3 m, tl.4 cm</t>
  </si>
  <si>
    <t>Potrubí z trub plastických, skleněných a čedičových</t>
  </si>
  <si>
    <t>Montáž trub z plastu, gumový kroužek, DN 400</t>
  </si>
  <si>
    <t>Trubka kanalizační žebrovaná PP SN 12 DN 400/1000</t>
  </si>
  <si>
    <t>Trubka kanalizační žebrovaná PP SN 12 DN 400/3000</t>
  </si>
  <si>
    <t>Trubka kanalizační žebrovaná PP SN 12 DN 400/5000</t>
  </si>
  <si>
    <t>Montáž tvarovek odboč. plast. gum. kroužek DN 400,včetně dodávky odbočky PVC 400/160 mm</t>
  </si>
  <si>
    <t>Montáž tvarovek odboč. plast. gum. kroužek DN 400, včetně dodávky odbočky PVC 400/200 mm</t>
  </si>
  <si>
    <t>Ostatní konstrukce a práce na trubním vedení</t>
  </si>
  <si>
    <t>Přesun hmot, trubní vedení, otevř. výkop</t>
  </si>
  <si>
    <t>Osazení poklopu s rámem do 150 kg, včetně dodávky poklopu lit. kruhového D 600</t>
  </si>
  <si>
    <t>Zabezpečení konců a zkouška vzduch. kan. DN do 400</t>
  </si>
  <si>
    <t>Zřízení šachet z dílců, dno C25/30, potrubí DN 400</t>
  </si>
  <si>
    <t>Prstenec vyrovnávací TBW-Q 625/60/120</t>
  </si>
  <si>
    <t>Prstenec vyrovnávací TBW-Q 625/80/120</t>
  </si>
  <si>
    <t>Prstenec vyrovnávací TBW-Q 625/100/120</t>
  </si>
  <si>
    <t>Skruž se stupadly TBS-Q 1000/250/90 SP (SP)</t>
  </si>
  <si>
    <t>Skruž kanalizační TBS-Q 1000/500/90 mm</t>
  </si>
  <si>
    <t>Konus šachetní TBR-Q.1 100-63/58/9 KPS</t>
  </si>
  <si>
    <t>Bourání konstrukcí</t>
  </si>
  <si>
    <t>Vybourání kanalizačního potrubí DN do 400 mm, vč. kan. šachet</t>
  </si>
  <si>
    <t>Komunikace pozemní a letiště</t>
  </si>
  <si>
    <t>Přesun hmot, pozemní komunikace, kryt z kameniva</t>
  </si>
  <si>
    <t>Přesun hmot, komunikace z kameniva, příplatek 5 km</t>
  </si>
  <si>
    <t>Přesun hmot, pozemní komunikace, kryt betonový</t>
  </si>
  <si>
    <t>Přesun hmot, komunikace beton. přípl. dalších 5 km</t>
  </si>
  <si>
    <t>Přesun hmot, pozemní komunikace, kryt živičný</t>
  </si>
  <si>
    <t>Přesun hmot, komunikace živičné, příplatek do 5 km</t>
  </si>
  <si>
    <t>Vedení trubní dálková a přípojná</t>
  </si>
  <si>
    <t>Přesun hmot pro kanalizace betonové, otevř. výkop</t>
  </si>
  <si>
    <t>Přesun hmot, kanalizace betonové, příplatek 5 km</t>
  </si>
  <si>
    <t>Přesuny sutí</t>
  </si>
  <si>
    <t>Svislá doprava vybouraných hmot na výšku do 3,5 m</t>
  </si>
  <si>
    <t>Vodorovné přemístění suti na skládku do 6000 m</t>
  </si>
  <si>
    <t>Příplatek za dalších započatých 1000 m nad 6000 m</t>
  </si>
  <si>
    <t>Uložení suti na skládku bez zhutnění</t>
  </si>
  <si>
    <t>Poplatek za skládku suti - stavební keramika - kanalizace</t>
  </si>
  <si>
    <t>Poplatek za skládku suti - směs kameniva</t>
  </si>
  <si>
    <t>Poplatek za skládku suti - obalované kam. - asfalt</t>
  </si>
  <si>
    <t>Doba výstavby:</t>
  </si>
  <si>
    <t>Začátek výstavby:</t>
  </si>
  <si>
    <t>Konec výstavby:</t>
  </si>
  <si>
    <t>Zpracováno dne:</t>
  </si>
  <si>
    <t>M.j.</t>
  </si>
  <si>
    <t>h</t>
  </si>
  <si>
    <t>m2</t>
  </si>
  <si>
    <t>Soubor</t>
  </si>
  <si>
    <t>m3</t>
  </si>
  <si>
    <t>m</t>
  </si>
  <si>
    <t>kus</t>
  </si>
  <si>
    <t>t</t>
  </si>
  <si>
    <t>úsek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</si>
  <si>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</si>
  <si>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</si>
  <si>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</si>
  <si>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</si>
  <si>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</si>
  <si>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</si>
  <si>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</si>
  <si>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</si>
  <si>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</si>
  <si>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</si>
  <si>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</si>
  <si>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</si>
  <si>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</si>
  <si>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</si>
  <si>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</si>
  <si>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</si>
  <si>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</si>
  <si>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</si>
  <si>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</si>
  <si>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</si>
  <si>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</si>
  <si>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</si>
  <si>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</si>
  <si>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</si>
  <si>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111_</t>
  </si>
  <si>
    <t>13_</t>
  </si>
  <si>
    <t>15_</t>
  </si>
  <si>
    <t>16_</t>
  </si>
  <si>
    <t>17_</t>
  </si>
  <si>
    <t>56_</t>
  </si>
  <si>
    <t>57_</t>
  </si>
  <si>
    <t>87_</t>
  </si>
  <si>
    <t>89_</t>
  </si>
  <si>
    <t>96_</t>
  </si>
  <si>
    <t>H22_</t>
  </si>
  <si>
    <t>H27_</t>
  </si>
  <si>
    <t>S_</t>
  </si>
  <si>
    <t>1_</t>
  </si>
  <si>
    <t>5_</t>
  </si>
  <si>
    <t>8_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</si>
  <si>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</si>
  <si>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</si>
  <si>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</si>
  <si>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</si>
  <si>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</si>
  <si>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</si>
  <si>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</si>
  <si>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</si>
  <si>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</si>
  <si>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</si>
  <si>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</si>
  <si>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</si>
  <si>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</si>
  <si>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</si>
  <si>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</si>
  <si>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</si>
  <si>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</si>
  <si>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</si>
  <si>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</si>
  <si>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</si>
  <si>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</si>
  <si>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</si>
  <si>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</si>
  <si>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</si>
  <si>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</si>
  <si>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</si>
  <si>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</si>
  <si>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</si>
  <si>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</si>
  <si>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</si>
  <si>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</si>
  <si>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</si>
  <si>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</si>
  <si>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</si>
  <si>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</si>
  <si>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</si>
  <si>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</si>
  <si>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</si>
  <si>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</si>
  <si>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</si>
  <si>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</si>
  <si>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</si>
  <si>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</si>
  <si>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</si>
  <si>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</si>
  <si>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Soupis prací</t>
  </si>
  <si>
    <t>Krycí list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</si>
</sst>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4" xfId="0" applyNumberFormat="1" applyFont="1" applyFill="1" applyBorder="1" applyAlignment="1" applyProtection="1">
      <alignment horizontal="center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2" fillId="0" borderId="24" xfId="0" applyNumberFormat="1" applyFont="1" applyFill="1" applyBorder="1" applyAlignment="1" applyProtection="1">
      <alignment horizontal="right" vertical="center"/>
      <protection/>
    </xf>
    <xf numFmtId="49" fontId="12" fillId="0" borderId="24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1" fillId="34" borderId="3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vertical="center"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1" fillId="34" borderId="37" xfId="0" applyNumberFormat="1" applyFont="1" applyFill="1" applyBorder="1" applyAlignment="1" applyProtection="1">
      <alignment horizontal="left" vertical="center"/>
      <protection/>
    </xf>
    <xf numFmtId="0" fontId="11" fillId="34" borderId="38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J7" sqref="J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3" t="s">
        <v>300</v>
      </c>
      <c r="B1" s="54"/>
      <c r="C1" s="54"/>
      <c r="D1" s="54"/>
      <c r="E1" s="54"/>
      <c r="F1" s="54"/>
      <c r="G1" s="54"/>
      <c r="H1" s="54"/>
      <c r="I1" s="54"/>
    </row>
    <row r="2" spans="1:10" ht="12.75">
      <c r="A2" s="82" t="s">
        <v>0</v>
      </c>
      <c r="B2" s="83"/>
      <c r="C2" s="84" t="s">
        <v>128</v>
      </c>
      <c r="D2" s="85"/>
      <c r="E2" s="87" t="s">
        <v>220</v>
      </c>
      <c r="F2" s="87"/>
      <c r="G2" s="83"/>
      <c r="H2" s="87" t="s">
        <v>295</v>
      </c>
      <c r="I2" s="88"/>
      <c r="J2" s="27"/>
    </row>
    <row r="3" spans="1:10" ht="12.75">
      <c r="A3" s="80"/>
      <c r="B3" s="52"/>
      <c r="C3" s="86"/>
      <c r="D3" s="86"/>
      <c r="E3" s="52"/>
      <c r="F3" s="52"/>
      <c r="G3" s="52"/>
      <c r="H3" s="52"/>
      <c r="I3" s="78"/>
      <c r="J3" s="27"/>
    </row>
    <row r="4" spans="1:10" ht="12.75">
      <c r="A4" s="74" t="s">
        <v>1</v>
      </c>
      <c r="B4" s="52"/>
      <c r="C4" s="51"/>
      <c r="D4" s="52"/>
      <c r="E4" s="51" t="s">
        <v>221</v>
      </c>
      <c r="F4" s="51"/>
      <c r="G4" s="52"/>
      <c r="H4" s="51" t="s">
        <v>295</v>
      </c>
      <c r="I4" s="81"/>
      <c r="J4" s="27"/>
    </row>
    <row r="5" spans="1:10" ht="12.75">
      <c r="A5" s="80"/>
      <c r="B5" s="52"/>
      <c r="C5" s="52"/>
      <c r="D5" s="52"/>
      <c r="E5" s="52"/>
      <c r="F5" s="52"/>
      <c r="G5" s="52"/>
      <c r="H5" s="52"/>
      <c r="I5" s="78"/>
      <c r="J5" s="27"/>
    </row>
    <row r="6" spans="1:10" ht="12.75">
      <c r="A6" s="74" t="s">
        <v>2</v>
      </c>
      <c r="B6" s="52"/>
      <c r="C6" s="51" t="s">
        <v>129</v>
      </c>
      <c r="D6" s="52"/>
      <c r="E6" s="51" t="s">
        <v>222</v>
      </c>
      <c r="F6" s="51"/>
      <c r="G6" s="52"/>
      <c r="H6" s="51" t="s">
        <v>295</v>
      </c>
      <c r="I6" s="81"/>
      <c r="J6" s="27"/>
    </row>
    <row r="7" spans="1:10" ht="12.75">
      <c r="A7" s="80"/>
      <c r="B7" s="52"/>
      <c r="C7" s="52"/>
      <c r="D7" s="52"/>
      <c r="E7" s="52"/>
      <c r="F7" s="52"/>
      <c r="G7" s="52"/>
      <c r="H7" s="52"/>
      <c r="I7" s="78"/>
      <c r="J7" s="27"/>
    </row>
    <row r="8" spans="1:10" ht="12.75">
      <c r="A8" s="74" t="s">
        <v>202</v>
      </c>
      <c r="B8" s="52"/>
      <c r="C8" s="77" t="s">
        <v>5</v>
      </c>
      <c r="D8" s="52"/>
      <c r="E8" s="51" t="s">
        <v>203</v>
      </c>
      <c r="F8" s="52"/>
      <c r="G8" s="52"/>
      <c r="H8" s="77" t="s">
        <v>296</v>
      </c>
      <c r="I8" s="81" t="s">
        <v>60</v>
      </c>
      <c r="J8" s="27"/>
    </row>
    <row r="9" spans="1:10" ht="12.75">
      <c r="A9" s="80"/>
      <c r="B9" s="52"/>
      <c r="C9" s="52"/>
      <c r="D9" s="52"/>
      <c r="E9" s="52"/>
      <c r="F9" s="52"/>
      <c r="G9" s="52"/>
      <c r="H9" s="52"/>
      <c r="I9" s="78"/>
      <c r="J9" s="27"/>
    </row>
    <row r="10" spans="1:10" ht="12.75">
      <c r="A10" s="74" t="s">
        <v>3</v>
      </c>
      <c r="B10" s="52"/>
      <c r="C10" s="51">
        <v>8272911</v>
      </c>
      <c r="D10" s="52"/>
      <c r="E10" s="51" t="s">
        <v>223</v>
      </c>
      <c r="F10" s="51"/>
      <c r="G10" s="52"/>
      <c r="H10" s="77" t="s">
        <v>297</v>
      </c>
      <c r="I10" s="78"/>
      <c r="J10" s="27"/>
    </row>
    <row r="11" spans="1:10" ht="12.75">
      <c r="A11" s="75"/>
      <c r="B11" s="76"/>
      <c r="C11" s="76"/>
      <c r="D11" s="76"/>
      <c r="E11" s="76"/>
      <c r="F11" s="76"/>
      <c r="G11" s="76"/>
      <c r="H11" s="76"/>
      <c r="I11" s="79"/>
      <c r="J11" s="27"/>
    </row>
    <row r="12" spans="1:9" ht="23.25" customHeight="1">
      <c r="A12" s="70" t="s">
        <v>256</v>
      </c>
      <c r="B12" s="71"/>
      <c r="C12" s="71"/>
      <c r="D12" s="71"/>
      <c r="E12" s="71"/>
      <c r="F12" s="71"/>
      <c r="G12" s="71"/>
      <c r="H12" s="71"/>
      <c r="I12" s="71"/>
    </row>
    <row r="13" spans="1:10" ht="26.25" customHeight="1">
      <c r="A13" s="36" t="s">
        <v>257</v>
      </c>
      <c r="B13" s="72" t="s">
        <v>269</v>
      </c>
      <c r="C13" s="73"/>
      <c r="D13" s="36" t="s">
        <v>271</v>
      </c>
      <c r="E13" s="72" t="s">
        <v>280</v>
      </c>
      <c r="F13" s="73"/>
      <c r="G13" s="36" t="s">
        <v>281</v>
      </c>
      <c r="H13" s="72" t="s">
        <v>298</v>
      </c>
      <c r="I13" s="73"/>
      <c r="J13" s="27"/>
    </row>
    <row r="14" spans="1:10" ht="15" customHeight="1">
      <c r="A14" s="37" t="s">
        <v>258</v>
      </c>
      <c r="B14" s="41" t="s">
        <v>270</v>
      </c>
      <c r="C14" s="45">
        <f>SUM('Stavební rozpočet'!O12:O80)</f>
        <v>0</v>
      </c>
      <c r="D14" s="68" t="s">
        <v>272</v>
      </c>
      <c r="E14" s="69"/>
      <c r="F14" s="45">
        <v>0</v>
      </c>
      <c r="G14" s="68" t="s">
        <v>282</v>
      </c>
      <c r="H14" s="69"/>
      <c r="I14" s="45">
        <v>0</v>
      </c>
      <c r="J14" s="27"/>
    </row>
    <row r="15" spans="1:10" ht="15" customHeight="1">
      <c r="A15" s="38"/>
      <c r="B15" s="41" t="s">
        <v>224</v>
      </c>
      <c r="C15" s="45">
        <f>SUM('Stavební rozpočet'!P12:P80)</f>
        <v>0</v>
      </c>
      <c r="D15" s="68" t="s">
        <v>273</v>
      </c>
      <c r="E15" s="69"/>
      <c r="F15" s="45">
        <v>0</v>
      </c>
      <c r="G15" s="68" t="s">
        <v>283</v>
      </c>
      <c r="H15" s="69"/>
      <c r="I15" s="45">
        <v>0</v>
      </c>
      <c r="J15" s="27"/>
    </row>
    <row r="16" spans="1:10" ht="15" customHeight="1">
      <c r="A16" s="37" t="s">
        <v>259</v>
      </c>
      <c r="B16" s="41" t="s">
        <v>270</v>
      </c>
      <c r="C16" s="45">
        <f>SUM('Stavební rozpočet'!Q12:Q80)</f>
        <v>0</v>
      </c>
      <c r="D16" s="68" t="s">
        <v>274</v>
      </c>
      <c r="E16" s="69"/>
      <c r="F16" s="45">
        <v>0</v>
      </c>
      <c r="G16" s="68" t="s">
        <v>284</v>
      </c>
      <c r="H16" s="69"/>
      <c r="I16" s="45">
        <v>0</v>
      </c>
      <c r="J16" s="27"/>
    </row>
    <row r="17" spans="1:10" ht="15" customHeight="1">
      <c r="A17" s="38"/>
      <c r="B17" s="41" t="s">
        <v>224</v>
      </c>
      <c r="C17" s="45">
        <f>SUM('Stavební rozpočet'!R12:R80)</f>
        <v>0</v>
      </c>
      <c r="D17" s="68"/>
      <c r="E17" s="69"/>
      <c r="F17" s="46"/>
      <c r="G17" s="68" t="s">
        <v>285</v>
      </c>
      <c r="H17" s="69"/>
      <c r="I17" s="45">
        <v>0</v>
      </c>
      <c r="J17" s="27"/>
    </row>
    <row r="18" spans="1:10" ht="15" customHeight="1">
      <c r="A18" s="37" t="s">
        <v>260</v>
      </c>
      <c r="B18" s="41" t="s">
        <v>270</v>
      </c>
      <c r="C18" s="45">
        <f>SUM('Stavební rozpočet'!S12:S80)</f>
        <v>0</v>
      </c>
      <c r="D18" s="68"/>
      <c r="E18" s="69"/>
      <c r="F18" s="46"/>
      <c r="G18" s="68" t="s">
        <v>286</v>
      </c>
      <c r="H18" s="69"/>
      <c r="I18" s="45">
        <v>0</v>
      </c>
      <c r="J18" s="27"/>
    </row>
    <row r="19" spans="1:10" ht="15" customHeight="1">
      <c r="A19" s="38"/>
      <c r="B19" s="41" t="s">
        <v>224</v>
      </c>
      <c r="C19" s="45">
        <f>SUM('Stavební rozpočet'!T12:T80)</f>
        <v>0</v>
      </c>
      <c r="D19" s="68"/>
      <c r="E19" s="69"/>
      <c r="F19" s="46"/>
      <c r="G19" s="68" t="s">
        <v>287</v>
      </c>
      <c r="H19" s="69"/>
      <c r="I19" s="45">
        <v>0</v>
      </c>
      <c r="J19" s="27"/>
    </row>
    <row r="20" spans="1:10" ht="15" customHeight="1">
      <c r="A20" s="66" t="s">
        <v>261</v>
      </c>
      <c r="B20" s="67"/>
      <c r="C20" s="45">
        <f>SUM('Stavební rozpočet'!U12:U80)</f>
        <v>0</v>
      </c>
      <c r="D20" s="68"/>
      <c r="E20" s="69"/>
      <c r="F20" s="46"/>
      <c r="G20" s="68"/>
      <c r="H20" s="69"/>
      <c r="I20" s="46"/>
      <c r="J20" s="27"/>
    </row>
    <row r="21" spans="1:10" ht="15" customHeight="1">
      <c r="A21" s="66" t="s">
        <v>262</v>
      </c>
      <c r="B21" s="67"/>
      <c r="C21" s="45">
        <f>SUM('Stavební rozpočet'!M12:M80)</f>
        <v>0</v>
      </c>
      <c r="D21" s="68"/>
      <c r="E21" s="69"/>
      <c r="F21" s="46"/>
      <c r="G21" s="68"/>
      <c r="H21" s="69"/>
      <c r="I21" s="46"/>
      <c r="J21" s="27"/>
    </row>
    <row r="22" spans="1:10" ht="16.5" customHeight="1">
      <c r="A22" s="66" t="s">
        <v>263</v>
      </c>
      <c r="B22" s="67"/>
      <c r="C22" s="45">
        <f>SUM(C14:C21)</f>
        <v>0</v>
      </c>
      <c r="D22" s="66" t="s">
        <v>275</v>
      </c>
      <c r="E22" s="67"/>
      <c r="F22" s="45">
        <f>SUM(F14:F21)</f>
        <v>0</v>
      </c>
      <c r="G22" s="66" t="s">
        <v>288</v>
      </c>
      <c r="H22" s="67"/>
      <c r="I22" s="45">
        <f>SUM(I14:I21)</f>
        <v>0</v>
      </c>
      <c r="J22" s="27"/>
    </row>
    <row r="23" spans="1:10" ht="15" customHeight="1">
      <c r="A23" s="8"/>
      <c r="B23" s="8"/>
      <c r="C23" s="43"/>
      <c r="D23" s="66" t="s">
        <v>276</v>
      </c>
      <c r="E23" s="67"/>
      <c r="F23" s="47">
        <v>0</v>
      </c>
      <c r="G23" s="66" t="s">
        <v>289</v>
      </c>
      <c r="H23" s="67"/>
      <c r="I23" s="45">
        <v>0</v>
      </c>
      <c r="J23" s="27"/>
    </row>
    <row r="24" spans="4:10" ht="15" customHeight="1">
      <c r="D24" s="8"/>
      <c r="E24" s="8"/>
      <c r="F24" s="48"/>
      <c r="G24" s="66" t="s">
        <v>290</v>
      </c>
      <c r="H24" s="67"/>
      <c r="I24" s="45">
        <v>0</v>
      </c>
      <c r="J24" s="27"/>
    </row>
    <row r="25" spans="6:10" ht="15" customHeight="1">
      <c r="F25" s="49"/>
      <c r="G25" s="66" t="s">
        <v>291</v>
      </c>
      <c r="H25" s="67"/>
      <c r="I25" s="45">
        <v>0</v>
      </c>
      <c r="J25" s="27"/>
    </row>
    <row r="26" spans="1:9" ht="12.75">
      <c r="A26" s="35"/>
      <c r="B26" s="35"/>
      <c r="C26" s="35"/>
      <c r="G26" s="8"/>
      <c r="H26" s="8"/>
      <c r="I26" s="8"/>
    </row>
    <row r="27" spans="1:9" ht="15" customHeight="1">
      <c r="A27" s="61" t="s">
        <v>264</v>
      </c>
      <c r="B27" s="62"/>
      <c r="C27" s="50">
        <f>SUM('Stavební rozpočet'!W12:W80)</f>
        <v>0</v>
      </c>
      <c r="D27" s="44"/>
      <c r="E27" s="35"/>
      <c r="F27" s="35"/>
      <c r="G27" s="35"/>
      <c r="H27" s="35"/>
      <c r="I27" s="35"/>
    </row>
    <row r="28" spans="1:10" ht="15" customHeight="1">
      <c r="A28" s="61" t="s">
        <v>265</v>
      </c>
      <c r="B28" s="62"/>
      <c r="C28" s="50">
        <f>SUM('Stavební rozpočet'!X12:X80)</f>
        <v>0</v>
      </c>
      <c r="D28" s="61" t="s">
        <v>277</v>
      </c>
      <c r="E28" s="62"/>
      <c r="F28" s="50">
        <f>ROUND(C28*(15/100),2)</f>
        <v>0</v>
      </c>
      <c r="G28" s="61" t="s">
        <v>292</v>
      </c>
      <c r="H28" s="62"/>
      <c r="I28" s="50">
        <f>SUM(C27:C29)</f>
        <v>0</v>
      </c>
      <c r="J28" s="27"/>
    </row>
    <row r="29" spans="1:10" ht="15" customHeight="1">
      <c r="A29" s="61" t="s">
        <v>266</v>
      </c>
      <c r="B29" s="62"/>
      <c r="C29" s="50">
        <f>SUM('Stavební rozpočet'!Y12:Y80)+(F22+I22+F23+I23+I24+I25)</f>
        <v>0</v>
      </c>
      <c r="D29" s="61" t="s">
        <v>278</v>
      </c>
      <c r="E29" s="62"/>
      <c r="F29" s="50">
        <f>ROUND(C29*(21/100),2)</f>
        <v>0</v>
      </c>
      <c r="G29" s="61" t="s">
        <v>293</v>
      </c>
      <c r="H29" s="62"/>
      <c r="I29" s="50">
        <f>SUM(F28:F29)+I28</f>
        <v>0</v>
      </c>
      <c r="J29" s="27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25" customHeight="1">
      <c r="A31" s="63" t="s">
        <v>267</v>
      </c>
      <c r="B31" s="64"/>
      <c r="C31" s="65"/>
      <c r="D31" s="63" t="s">
        <v>279</v>
      </c>
      <c r="E31" s="64"/>
      <c r="F31" s="65"/>
      <c r="G31" s="63" t="s">
        <v>294</v>
      </c>
      <c r="H31" s="64"/>
      <c r="I31" s="65"/>
      <c r="J31" s="28"/>
    </row>
    <row r="32" spans="1:10" ht="14.25" customHeight="1">
      <c r="A32" s="55"/>
      <c r="B32" s="56"/>
      <c r="C32" s="57"/>
      <c r="D32" s="55"/>
      <c r="E32" s="56"/>
      <c r="F32" s="57"/>
      <c r="G32" s="55"/>
      <c r="H32" s="56"/>
      <c r="I32" s="57"/>
      <c r="J32" s="28"/>
    </row>
    <row r="33" spans="1:10" ht="14.25" customHeight="1">
      <c r="A33" s="55"/>
      <c r="B33" s="56"/>
      <c r="C33" s="57"/>
      <c r="D33" s="55"/>
      <c r="E33" s="56"/>
      <c r="F33" s="57"/>
      <c r="G33" s="55"/>
      <c r="H33" s="56"/>
      <c r="I33" s="57"/>
      <c r="J33" s="28"/>
    </row>
    <row r="34" spans="1:10" ht="14.25" customHeight="1">
      <c r="A34" s="55"/>
      <c r="B34" s="56"/>
      <c r="C34" s="57"/>
      <c r="D34" s="55"/>
      <c r="E34" s="56"/>
      <c r="F34" s="57"/>
      <c r="G34" s="55"/>
      <c r="H34" s="56"/>
      <c r="I34" s="57"/>
      <c r="J34" s="28"/>
    </row>
    <row r="35" spans="1:10" ht="14.25" customHeight="1">
      <c r="A35" s="58" t="s">
        <v>268</v>
      </c>
      <c r="B35" s="59"/>
      <c r="C35" s="60"/>
      <c r="D35" s="58" t="s">
        <v>268</v>
      </c>
      <c r="E35" s="59"/>
      <c r="F35" s="60"/>
      <c r="G35" s="58" t="s">
        <v>268</v>
      </c>
      <c r="H35" s="59"/>
      <c r="I35" s="60"/>
      <c r="J35" s="28"/>
    </row>
    <row r="36" spans="1:9" ht="11.25" customHeight="1">
      <c r="A36" s="40" t="s">
        <v>61</v>
      </c>
      <c r="B36" s="42"/>
      <c r="C36" s="42"/>
      <c r="D36" s="42"/>
      <c r="E36" s="42"/>
      <c r="F36" s="42"/>
      <c r="G36" s="42"/>
      <c r="H36" s="42"/>
      <c r="I36" s="42"/>
    </row>
    <row r="37" spans="1:9" ht="409.5" customHeight="1" hidden="1">
      <c r="A37" s="51"/>
      <c r="B37" s="52"/>
      <c r="C37" s="52"/>
      <c r="D37" s="52"/>
      <c r="E37" s="52"/>
      <c r="F37" s="52"/>
      <c r="G37" s="52"/>
      <c r="H37" s="52"/>
      <c r="I37" s="52"/>
    </row>
  </sheetData>
  <sheetProtection/>
  <mergeCells count="83"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tabSelected="1" zoomScalePageLayoutView="0" workbookViewId="0" topLeftCell="A1">
      <selection activeCell="AS82" sqref="AS8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9.00390625" style="0" customWidth="1"/>
    <col min="5" max="5" width="7.421875" style="0" customWidth="1"/>
    <col min="6" max="6" width="12.8515625" style="0" customWidth="1"/>
    <col min="7" max="7" width="12.00390625" style="0" customWidth="1"/>
    <col min="8" max="10" width="14.28125" style="0" customWidth="1"/>
    <col min="11" max="11" width="0" style="0" hidden="1" customWidth="1"/>
    <col min="12" max="44" width="12.140625" style="0" hidden="1" customWidth="1"/>
  </cols>
  <sheetData>
    <row r="1" spans="1:10" ht="72.75" customHeight="1">
      <c r="A1" s="99" t="s">
        <v>299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2.75">
      <c r="A2" s="82" t="s">
        <v>0</v>
      </c>
      <c r="B2" s="83"/>
      <c r="C2" s="83"/>
      <c r="D2" s="84" t="s">
        <v>128</v>
      </c>
      <c r="E2" s="101" t="s">
        <v>201</v>
      </c>
      <c r="F2" s="83"/>
      <c r="G2" s="101"/>
      <c r="H2" s="83"/>
      <c r="I2" s="87" t="s">
        <v>220</v>
      </c>
      <c r="J2" s="87"/>
      <c r="K2" s="27"/>
    </row>
    <row r="3" spans="1:11" ht="12.75">
      <c r="A3" s="80"/>
      <c r="B3" s="52"/>
      <c r="C3" s="52"/>
      <c r="D3" s="86"/>
      <c r="E3" s="52"/>
      <c r="F3" s="52"/>
      <c r="G3" s="52"/>
      <c r="H3" s="52"/>
      <c r="I3" s="52"/>
      <c r="J3" s="52"/>
      <c r="K3" s="27"/>
    </row>
    <row r="4" spans="1:11" ht="12.75">
      <c r="A4" s="74" t="s">
        <v>1</v>
      </c>
      <c r="B4" s="52"/>
      <c r="C4" s="52"/>
      <c r="D4" s="51"/>
      <c r="E4" s="77" t="s">
        <v>202</v>
      </c>
      <c r="F4" s="52"/>
      <c r="G4" s="77" t="s">
        <v>5</v>
      </c>
      <c r="H4" s="52"/>
      <c r="I4" s="51" t="s">
        <v>221</v>
      </c>
      <c r="J4" s="51"/>
      <c r="K4" s="27"/>
    </row>
    <row r="5" spans="1:11" ht="12.75">
      <c r="A5" s="80"/>
      <c r="B5" s="52"/>
      <c r="C5" s="52"/>
      <c r="D5" s="52"/>
      <c r="E5" s="52"/>
      <c r="F5" s="52"/>
      <c r="G5" s="52"/>
      <c r="H5" s="52"/>
      <c r="I5" s="52"/>
      <c r="J5" s="52"/>
      <c r="K5" s="27"/>
    </row>
    <row r="6" spans="1:11" ht="12.75">
      <c r="A6" s="74" t="s">
        <v>2</v>
      </c>
      <c r="B6" s="52"/>
      <c r="C6" s="52"/>
      <c r="D6" s="51" t="s">
        <v>129</v>
      </c>
      <c r="E6" s="77" t="s">
        <v>203</v>
      </c>
      <c r="F6" s="52"/>
      <c r="G6" s="52"/>
      <c r="H6" s="52"/>
      <c r="I6" s="51" t="s">
        <v>222</v>
      </c>
      <c r="J6" s="51"/>
      <c r="K6" s="27"/>
    </row>
    <row r="7" spans="1:11" ht="12.75">
      <c r="A7" s="80"/>
      <c r="B7" s="52"/>
      <c r="C7" s="52"/>
      <c r="D7" s="52"/>
      <c r="E7" s="52"/>
      <c r="F7" s="52"/>
      <c r="G7" s="52"/>
      <c r="H7" s="52"/>
      <c r="I7" s="52"/>
      <c r="J7" s="52"/>
      <c r="K7" s="27"/>
    </row>
    <row r="8" spans="1:11" ht="12.75">
      <c r="A8" s="74" t="s">
        <v>3</v>
      </c>
      <c r="B8" s="52"/>
      <c r="C8" s="52"/>
      <c r="D8" s="51">
        <v>8272911</v>
      </c>
      <c r="E8" s="77" t="s">
        <v>204</v>
      </c>
      <c r="F8" s="52"/>
      <c r="G8" s="52"/>
      <c r="H8" s="52"/>
      <c r="I8" s="51" t="s">
        <v>223</v>
      </c>
      <c r="J8" s="51"/>
      <c r="K8" s="27"/>
    </row>
    <row r="9" spans="1:11" ht="12.75">
      <c r="A9" s="97"/>
      <c r="B9" s="98"/>
      <c r="C9" s="98"/>
      <c r="D9" s="98"/>
      <c r="E9" s="98"/>
      <c r="F9" s="98"/>
      <c r="G9" s="98"/>
      <c r="H9" s="98"/>
      <c r="I9" s="98"/>
      <c r="J9" s="98"/>
      <c r="K9" s="27"/>
    </row>
    <row r="10" spans="1:11" ht="12.75">
      <c r="A10" s="1" t="s">
        <v>4</v>
      </c>
      <c r="B10" s="10" t="s">
        <v>62</v>
      </c>
      <c r="C10" s="10" t="s">
        <v>63</v>
      </c>
      <c r="D10" s="10" t="s">
        <v>130</v>
      </c>
      <c r="E10" s="10" t="s">
        <v>205</v>
      </c>
      <c r="F10" s="15" t="s">
        <v>214</v>
      </c>
      <c r="G10" s="19" t="s">
        <v>215</v>
      </c>
      <c r="H10" s="92" t="s">
        <v>217</v>
      </c>
      <c r="I10" s="93"/>
      <c r="J10" s="94"/>
      <c r="K10" s="28"/>
    </row>
    <row r="11" spans="1:21" ht="12.75">
      <c r="A11" s="2" t="s">
        <v>5</v>
      </c>
      <c r="B11" s="11" t="s">
        <v>5</v>
      </c>
      <c r="C11" s="11" t="s">
        <v>5</v>
      </c>
      <c r="D11" s="14" t="s">
        <v>131</v>
      </c>
      <c r="E11" s="11" t="s">
        <v>5</v>
      </c>
      <c r="F11" s="11" t="s">
        <v>5</v>
      </c>
      <c r="G11" s="20" t="s">
        <v>216</v>
      </c>
      <c r="H11" s="21" t="s">
        <v>218</v>
      </c>
      <c r="I11" s="22" t="s">
        <v>224</v>
      </c>
      <c r="J11" s="23" t="s">
        <v>225</v>
      </c>
      <c r="K11" s="28"/>
      <c r="M11" s="24" t="s">
        <v>227</v>
      </c>
      <c r="N11" s="24" t="s">
        <v>228</v>
      </c>
      <c r="O11" s="24" t="s">
        <v>230</v>
      </c>
      <c r="P11" s="24" t="s">
        <v>231</v>
      </c>
      <c r="Q11" s="24" t="s">
        <v>232</v>
      </c>
      <c r="R11" s="24" t="s">
        <v>233</v>
      </c>
      <c r="S11" s="24" t="s">
        <v>234</v>
      </c>
      <c r="T11" s="24" t="s">
        <v>235</v>
      </c>
      <c r="U11" s="24" t="s">
        <v>236</v>
      </c>
    </row>
    <row r="12" spans="1:34" ht="12.75">
      <c r="A12" s="3"/>
      <c r="B12" s="12"/>
      <c r="C12" s="12" t="s">
        <v>16</v>
      </c>
      <c r="D12" s="95" t="s">
        <v>132</v>
      </c>
      <c r="E12" s="96"/>
      <c r="F12" s="96"/>
      <c r="G12" s="96"/>
      <c r="H12" s="31">
        <f>SUM(H13:H15)</f>
        <v>0</v>
      </c>
      <c r="I12" s="31">
        <f>SUM(I13:I15)</f>
        <v>0</v>
      </c>
      <c r="J12" s="31">
        <f>H12+I12</f>
        <v>0</v>
      </c>
      <c r="M12" s="32">
        <f>IF(N12="PR",J12,SUM(L13:L15))</f>
        <v>0</v>
      </c>
      <c r="N12" s="24" t="s">
        <v>229</v>
      </c>
      <c r="O12" s="32">
        <f>IF(N12="HS",H12,0)</f>
        <v>0</v>
      </c>
      <c r="P12" s="32">
        <f>IF(N12="HS",I12-M12,0)</f>
        <v>0</v>
      </c>
      <c r="Q12" s="32">
        <f>IF(N12="PS",H12,0)</f>
        <v>0</v>
      </c>
      <c r="R12" s="32">
        <f>IF(N12="PS",I12-M12,0)</f>
        <v>0</v>
      </c>
      <c r="S12" s="32">
        <f>IF(N12="MP",H12,0)</f>
        <v>0</v>
      </c>
      <c r="T12" s="32">
        <f>IF(N12="MP",I12-M12,0)</f>
        <v>0</v>
      </c>
      <c r="U12" s="32">
        <f>IF(N12="OM",H12,0)</f>
        <v>0</v>
      </c>
      <c r="V12" s="24"/>
      <c r="AF12" s="32">
        <f>SUM(W13:W15)</f>
        <v>0</v>
      </c>
      <c r="AG12" s="32">
        <f>SUM(X13:X15)</f>
        <v>0</v>
      </c>
      <c r="AH12" s="32">
        <f>SUM(Y13:Y15)</f>
        <v>0</v>
      </c>
    </row>
    <row r="13" spans="1:40" ht="12.75">
      <c r="A13" s="4" t="s">
        <v>6</v>
      </c>
      <c r="B13" s="4"/>
      <c r="C13" s="4" t="s">
        <v>64</v>
      </c>
      <c r="D13" s="4" t="s">
        <v>133</v>
      </c>
      <c r="E13" s="4" t="s">
        <v>206</v>
      </c>
      <c r="F13" s="16">
        <v>200</v>
      </c>
      <c r="G13" s="16"/>
      <c r="H13" s="16">
        <f>F13*AB13</f>
        <v>0</v>
      </c>
      <c r="I13" s="16">
        <f>J13-H13</f>
        <v>0</v>
      </c>
      <c r="J13" s="16">
        <f>F13*G13</f>
        <v>0</v>
      </c>
      <c r="K13" s="25" t="s">
        <v>6</v>
      </c>
      <c r="L13" s="16">
        <f>IF(K13="5",I13,0)</f>
        <v>0</v>
      </c>
      <c r="W13" s="16">
        <f>IF(AA13=0,J13,0)</f>
        <v>0</v>
      </c>
      <c r="X13" s="16">
        <f>IF(AA13=15,J13,0)</f>
        <v>0</v>
      </c>
      <c r="Y13" s="16">
        <f>IF(AA13=21,J13,0)</f>
        <v>0</v>
      </c>
      <c r="AA13" s="29">
        <v>21</v>
      </c>
      <c r="AB13" s="29">
        <f>G13*0</f>
        <v>0</v>
      </c>
      <c r="AC13" s="29">
        <f>G13*(1-0)</f>
        <v>0</v>
      </c>
      <c r="AJ13" s="29">
        <f>F13*AB13</f>
        <v>0</v>
      </c>
      <c r="AK13" s="29">
        <f>F13*AC13</f>
        <v>0</v>
      </c>
      <c r="AL13" s="30" t="s">
        <v>237</v>
      </c>
      <c r="AM13" s="30" t="s">
        <v>251</v>
      </c>
      <c r="AN13" s="24" t="s">
        <v>255</v>
      </c>
    </row>
    <row r="14" spans="1:40" ht="12.75">
      <c r="A14" s="4" t="s">
        <v>7</v>
      </c>
      <c r="B14" s="4"/>
      <c r="C14" s="4" t="s">
        <v>65</v>
      </c>
      <c r="D14" s="4" t="s">
        <v>134</v>
      </c>
      <c r="E14" s="4" t="s">
        <v>207</v>
      </c>
      <c r="F14" s="16">
        <v>524.52</v>
      </c>
      <c r="G14" s="16"/>
      <c r="H14" s="16">
        <f>F14*AB14</f>
        <v>0</v>
      </c>
      <c r="I14" s="16">
        <f>J14-H14</f>
        <v>0</v>
      </c>
      <c r="J14" s="16">
        <f>F14*G14</f>
        <v>0</v>
      </c>
      <c r="K14" s="25" t="s">
        <v>6</v>
      </c>
      <c r="L14" s="16">
        <f>IF(K14="5",I14,0)</f>
        <v>0</v>
      </c>
      <c r="W14" s="16">
        <f>IF(AA14=0,J14,0)</f>
        <v>0</v>
      </c>
      <c r="X14" s="16">
        <f>IF(AA14=15,J14,0)</f>
        <v>0</v>
      </c>
      <c r="Y14" s="16">
        <f>IF(AA14=21,J14,0)</f>
        <v>0</v>
      </c>
      <c r="AA14" s="29">
        <v>21</v>
      </c>
      <c r="AB14" s="29">
        <f>G14*0</f>
        <v>0</v>
      </c>
      <c r="AC14" s="29">
        <f>G14*(1-0)</f>
        <v>0</v>
      </c>
      <c r="AJ14" s="29">
        <f>F14*AB14</f>
        <v>0</v>
      </c>
      <c r="AK14" s="29">
        <f>F14*AC14</f>
        <v>0</v>
      </c>
      <c r="AL14" s="30" t="s">
        <v>237</v>
      </c>
      <c r="AM14" s="30" t="s">
        <v>251</v>
      </c>
      <c r="AN14" s="24" t="s">
        <v>255</v>
      </c>
    </row>
    <row r="15" spans="1:40" ht="12.75">
      <c r="A15" s="4" t="s">
        <v>8</v>
      </c>
      <c r="B15" s="4"/>
      <c r="C15" s="4" t="s">
        <v>66</v>
      </c>
      <c r="D15" s="4" t="s">
        <v>135</v>
      </c>
      <c r="E15" s="4" t="s">
        <v>207</v>
      </c>
      <c r="F15" s="16">
        <v>305.97</v>
      </c>
      <c r="G15" s="16"/>
      <c r="H15" s="16">
        <f>F15*AB15</f>
        <v>0</v>
      </c>
      <c r="I15" s="16">
        <f>J15-H15</f>
        <v>0</v>
      </c>
      <c r="J15" s="16">
        <f>F15*G15</f>
        <v>0</v>
      </c>
      <c r="K15" s="25" t="s">
        <v>6</v>
      </c>
      <c r="L15" s="16">
        <f>IF(K15="5",I15,0)</f>
        <v>0</v>
      </c>
      <c r="W15" s="16">
        <f>IF(AA15=0,J15,0)</f>
        <v>0</v>
      </c>
      <c r="X15" s="16">
        <f>IF(AA15=15,J15,0)</f>
        <v>0</v>
      </c>
      <c r="Y15" s="16">
        <f>IF(AA15=21,J15,0)</f>
        <v>0</v>
      </c>
      <c r="AA15" s="29">
        <v>21</v>
      </c>
      <c r="AB15" s="29">
        <f>G15*0</f>
        <v>0</v>
      </c>
      <c r="AC15" s="29">
        <f>G15*(1-0)</f>
        <v>0</v>
      </c>
      <c r="AJ15" s="29">
        <f>F15*AB15</f>
        <v>0</v>
      </c>
      <c r="AK15" s="29">
        <f>F15*AC15</f>
        <v>0</v>
      </c>
      <c r="AL15" s="30" t="s">
        <v>237</v>
      </c>
      <c r="AM15" s="30" t="s">
        <v>251</v>
      </c>
      <c r="AN15" s="24" t="s">
        <v>255</v>
      </c>
    </row>
    <row r="16" spans="1:34" ht="12.75">
      <c r="A16" s="5"/>
      <c r="B16" s="13"/>
      <c r="C16" s="13" t="s">
        <v>67</v>
      </c>
      <c r="D16" s="89" t="s">
        <v>136</v>
      </c>
      <c r="E16" s="90"/>
      <c r="F16" s="90"/>
      <c r="G16" s="90"/>
      <c r="H16" s="32">
        <f>SUM(H17:H19)</f>
        <v>0</v>
      </c>
      <c r="I16" s="32">
        <f>SUM(I17:I19)</f>
        <v>0</v>
      </c>
      <c r="J16" s="32">
        <f>H16+I16</f>
        <v>0</v>
      </c>
      <c r="M16" s="32">
        <f>IF(N16="PR",J16,SUM(L17:L19))</f>
        <v>0</v>
      </c>
      <c r="N16" s="24" t="s">
        <v>229</v>
      </c>
      <c r="O16" s="32">
        <f>IF(N16="HS",H16,0)</f>
        <v>0</v>
      </c>
      <c r="P16" s="32">
        <f>IF(N16="HS",I16-M16,0)</f>
        <v>0</v>
      </c>
      <c r="Q16" s="32">
        <f>IF(N16="PS",H16,0)</f>
        <v>0</v>
      </c>
      <c r="R16" s="32">
        <f>IF(N16="PS",I16-M16,0)</f>
        <v>0</v>
      </c>
      <c r="S16" s="32">
        <f>IF(N16="MP",H16,0)</f>
        <v>0</v>
      </c>
      <c r="T16" s="32">
        <f>IF(N16="MP",I16-M16,0)</f>
        <v>0</v>
      </c>
      <c r="U16" s="32">
        <f>IF(N16="OM",H16,0)</f>
        <v>0</v>
      </c>
      <c r="V16" s="24"/>
      <c r="AF16" s="32">
        <f>SUM(W17:W19)</f>
        <v>0</v>
      </c>
      <c r="AG16" s="32">
        <f>SUM(X17:X19)</f>
        <v>0</v>
      </c>
      <c r="AH16" s="32">
        <f>SUM(Y17:Y19)</f>
        <v>0</v>
      </c>
    </row>
    <row r="17" spans="1:40" ht="12.75">
      <c r="A17" s="4" t="s">
        <v>9</v>
      </c>
      <c r="B17" s="4"/>
      <c r="C17" s="4" t="s">
        <v>68</v>
      </c>
      <c r="D17" s="4" t="s">
        <v>137</v>
      </c>
      <c r="E17" s="4" t="s">
        <v>208</v>
      </c>
      <c r="F17" s="16">
        <v>225</v>
      </c>
      <c r="G17" s="16"/>
      <c r="H17" s="16">
        <f>F17*AB17</f>
        <v>0</v>
      </c>
      <c r="I17" s="16">
        <f>J17-H17</f>
        <v>0</v>
      </c>
      <c r="J17" s="16">
        <f>F17*G17</f>
        <v>0</v>
      </c>
      <c r="K17" s="25" t="s">
        <v>6</v>
      </c>
      <c r="L17" s="16">
        <f>IF(K17="5",I17,0)</f>
        <v>0</v>
      </c>
      <c r="W17" s="16">
        <f>IF(AA17=0,J17,0)</f>
        <v>0</v>
      </c>
      <c r="X17" s="16">
        <f>IF(AA17=15,J17,0)</f>
        <v>0</v>
      </c>
      <c r="Y17" s="16">
        <f>IF(AA17=21,J17,0)</f>
        <v>0</v>
      </c>
      <c r="AA17" s="29">
        <v>21</v>
      </c>
      <c r="AB17" s="29">
        <f>G17*0</f>
        <v>0</v>
      </c>
      <c r="AC17" s="29">
        <f>G17*(1-0)</f>
        <v>0</v>
      </c>
      <c r="AJ17" s="29">
        <f>F17*AB17</f>
        <v>0</v>
      </c>
      <c r="AK17" s="29">
        <f>F17*AC17</f>
        <v>0</v>
      </c>
      <c r="AL17" s="30" t="s">
        <v>238</v>
      </c>
      <c r="AM17" s="30" t="s">
        <v>251</v>
      </c>
      <c r="AN17" s="24" t="s">
        <v>255</v>
      </c>
    </row>
    <row r="18" spans="1:40" ht="12.75">
      <c r="A18" s="4" t="s">
        <v>10</v>
      </c>
      <c r="B18" s="4"/>
      <c r="C18" s="4" t="s">
        <v>69</v>
      </c>
      <c r="D18" s="4" t="s">
        <v>138</v>
      </c>
      <c r="E18" s="4" t="s">
        <v>208</v>
      </c>
      <c r="F18" s="16">
        <v>218.55</v>
      </c>
      <c r="G18" s="16"/>
      <c r="H18" s="16">
        <f>F18*AB18</f>
        <v>0</v>
      </c>
      <c r="I18" s="16">
        <f>J18-H18</f>
        <v>0</v>
      </c>
      <c r="J18" s="16">
        <f>F18*G18</f>
        <v>0</v>
      </c>
      <c r="K18" s="25" t="s">
        <v>6</v>
      </c>
      <c r="L18" s="16">
        <f>IF(K18="5",I18,0)</f>
        <v>0</v>
      </c>
      <c r="W18" s="16">
        <f>IF(AA18=0,J18,0)</f>
        <v>0</v>
      </c>
      <c r="X18" s="16">
        <f>IF(AA18=15,J18,0)</f>
        <v>0</v>
      </c>
      <c r="Y18" s="16">
        <f>IF(AA18=21,J18,0)</f>
        <v>0</v>
      </c>
      <c r="AA18" s="29">
        <v>21</v>
      </c>
      <c r="AB18" s="29">
        <f>G18*0</f>
        <v>0</v>
      </c>
      <c r="AC18" s="29">
        <f>G18*(1-0)</f>
        <v>0</v>
      </c>
      <c r="AJ18" s="29">
        <f>F18*AB18</f>
        <v>0</v>
      </c>
      <c r="AK18" s="29">
        <f>F18*AC18</f>
        <v>0</v>
      </c>
      <c r="AL18" s="30" t="s">
        <v>238</v>
      </c>
      <c r="AM18" s="30" t="s">
        <v>251</v>
      </c>
      <c r="AN18" s="24" t="s">
        <v>255</v>
      </c>
    </row>
    <row r="19" spans="1:40" ht="12.75">
      <c r="A19" s="4" t="s">
        <v>11</v>
      </c>
      <c r="B19" s="4"/>
      <c r="C19" s="4" t="s">
        <v>70</v>
      </c>
      <c r="D19" s="4" t="s">
        <v>139</v>
      </c>
      <c r="E19" s="4" t="s">
        <v>208</v>
      </c>
      <c r="F19" s="16">
        <v>218.55</v>
      </c>
      <c r="G19" s="16"/>
      <c r="H19" s="16">
        <f>F19*AB19</f>
        <v>0</v>
      </c>
      <c r="I19" s="16">
        <f>J19-H19</f>
        <v>0</v>
      </c>
      <c r="J19" s="16">
        <f>F19*G19</f>
        <v>0</v>
      </c>
      <c r="K19" s="25" t="s">
        <v>6</v>
      </c>
      <c r="L19" s="16">
        <f>IF(K19="5",I19,0)</f>
        <v>0</v>
      </c>
      <c r="W19" s="16">
        <f>IF(AA19=0,J19,0)</f>
        <v>0</v>
      </c>
      <c r="X19" s="16">
        <f>IF(AA19=15,J19,0)</f>
        <v>0</v>
      </c>
      <c r="Y19" s="16">
        <f>IF(AA19=21,J19,0)</f>
        <v>0</v>
      </c>
      <c r="AA19" s="29">
        <v>21</v>
      </c>
      <c r="AB19" s="29">
        <f>G19*0</f>
        <v>0</v>
      </c>
      <c r="AC19" s="29">
        <f>G19*(1-0)</f>
        <v>0</v>
      </c>
      <c r="AJ19" s="29">
        <f>F19*AB19</f>
        <v>0</v>
      </c>
      <c r="AK19" s="29">
        <f>F19*AC19</f>
        <v>0</v>
      </c>
      <c r="AL19" s="30" t="s">
        <v>238</v>
      </c>
      <c r="AM19" s="30" t="s">
        <v>251</v>
      </c>
      <c r="AN19" s="24" t="s">
        <v>255</v>
      </c>
    </row>
    <row r="20" spans="1:34" ht="12.75">
      <c r="A20" s="5"/>
      <c r="B20" s="13"/>
      <c r="C20" s="13" t="s">
        <v>18</v>
      </c>
      <c r="D20" s="89" t="s">
        <v>140</v>
      </c>
      <c r="E20" s="90"/>
      <c r="F20" s="90"/>
      <c r="G20" s="90"/>
      <c r="H20" s="32">
        <f>SUM(H21:H23)</f>
        <v>0</v>
      </c>
      <c r="I20" s="32">
        <f>SUM(I21:I23)</f>
        <v>0</v>
      </c>
      <c r="J20" s="32">
        <f>H20+I20</f>
        <v>0</v>
      </c>
      <c r="M20" s="32">
        <f>IF(N20="PR",J20,SUM(L21:L23))</f>
        <v>0</v>
      </c>
      <c r="N20" s="24" t="s">
        <v>229</v>
      </c>
      <c r="O20" s="32">
        <f>IF(N20="HS",H20,0)</f>
        <v>0</v>
      </c>
      <c r="P20" s="32">
        <f>IF(N20="HS",I20-M20,0)</f>
        <v>0</v>
      </c>
      <c r="Q20" s="32">
        <f>IF(N20="PS",H20,0)</f>
        <v>0</v>
      </c>
      <c r="R20" s="32">
        <f>IF(N20="PS",I20-M20,0)</f>
        <v>0</v>
      </c>
      <c r="S20" s="32">
        <f>IF(N20="MP",H20,0)</f>
        <v>0</v>
      </c>
      <c r="T20" s="32">
        <f>IF(N20="MP",I20-M20,0)</f>
        <v>0</v>
      </c>
      <c r="U20" s="32">
        <f>IF(N20="OM",H20,0)</f>
        <v>0</v>
      </c>
      <c r="V20" s="24"/>
      <c r="AF20" s="32">
        <f>SUM(W21:W23)</f>
        <v>0</v>
      </c>
      <c r="AG20" s="32">
        <f>SUM(X21:X23)</f>
        <v>0</v>
      </c>
      <c r="AH20" s="32">
        <f>SUM(Y21:Y23)</f>
        <v>0</v>
      </c>
    </row>
    <row r="21" spans="1:40" ht="12.75">
      <c r="A21" s="4" t="s">
        <v>12</v>
      </c>
      <c r="B21" s="4"/>
      <c r="C21" s="4" t="s">
        <v>71</v>
      </c>
      <c r="D21" s="4" t="s">
        <v>141</v>
      </c>
      <c r="E21" s="4" t="s">
        <v>209</v>
      </c>
      <c r="F21" s="16">
        <v>393.39</v>
      </c>
      <c r="G21" s="16"/>
      <c r="H21" s="16">
        <f>F21*AB21</f>
        <v>0</v>
      </c>
      <c r="I21" s="16">
        <f>J21-H21</f>
        <v>0</v>
      </c>
      <c r="J21" s="16">
        <f>F21*G21</f>
        <v>0</v>
      </c>
      <c r="K21" s="25" t="s">
        <v>6</v>
      </c>
      <c r="L21" s="16">
        <f>IF(K21="5",I21,0)</f>
        <v>0</v>
      </c>
      <c r="W21" s="16">
        <f>IF(AA21=0,J21,0)</f>
        <v>0</v>
      </c>
      <c r="X21" s="16">
        <f>IF(AA21=15,J21,0)</f>
        <v>0</v>
      </c>
      <c r="Y21" s="16">
        <f>IF(AA21=21,J21,0)</f>
        <v>0</v>
      </c>
      <c r="AA21" s="29">
        <v>21</v>
      </c>
      <c r="AB21" s="29">
        <f>G21*0</f>
        <v>0</v>
      </c>
      <c r="AC21" s="29">
        <f>G21*(1-0)</f>
        <v>0</v>
      </c>
      <c r="AJ21" s="29">
        <f>F21*AB21</f>
        <v>0</v>
      </c>
      <c r="AK21" s="29">
        <f>F21*AC21</f>
        <v>0</v>
      </c>
      <c r="AL21" s="30" t="s">
        <v>239</v>
      </c>
      <c r="AM21" s="30" t="s">
        <v>251</v>
      </c>
      <c r="AN21" s="24" t="s">
        <v>255</v>
      </c>
    </row>
    <row r="22" spans="1:40" ht="12.75">
      <c r="A22" s="4" t="s">
        <v>13</v>
      </c>
      <c r="B22" s="4"/>
      <c r="C22" s="4" t="s">
        <v>72</v>
      </c>
      <c r="D22" s="4" t="s">
        <v>142</v>
      </c>
      <c r="E22" s="4" t="s">
        <v>209</v>
      </c>
      <c r="F22" s="16">
        <v>393.39</v>
      </c>
      <c r="G22" s="16"/>
      <c r="H22" s="16">
        <f>F22*AB22</f>
        <v>0</v>
      </c>
      <c r="I22" s="16">
        <f>J22-H22</f>
        <v>0</v>
      </c>
      <c r="J22" s="16">
        <f>F22*G22</f>
        <v>0</v>
      </c>
      <c r="K22" s="25" t="s">
        <v>6</v>
      </c>
      <c r="L22" s="16">
        <f>IF(K22="5",I22,0)</f>
        <v>0</v>
      </c>
      <c r="W22" s="16">
        <f>IF(AA22=0,J22,0)</f>
        <v>0</v>
      </c>
      <c r="X22" s="16">
        <f>IF(AA22=15,J22,0)</f>
        <v>0</v>
      </c>
      <c r="Y22" s="16">
        <f>IF(AA22=21,J22,0)</f>
        <v>0</v>
      </c>
      <c r="AA22" s="29">
        <v>21</v>
      </c>
      <c r="AB22" s="29">
        <f>G22*0</f>
        <v>0</v>
      </c>
      <c r="AC22" s="29">
        <f>G22*(1-0)</f>
        <v>0</v>
      </c>
      <c r="AJ22" s="29">
        <f>F22*AB22</f>
        <v>0</v>
      </c>
      <c r="AK22" s="29">
        <f>F22*AC22</f>
        <v>0</v>
      </c>
      <c r="AL22" s="30" t="s">
        <v>239</v>
      </c>
      <c r="AM22" s="30" t="s">
        <v>251</v>
      </c>
      <c r="AN22" s="24" t="s">
        <v>255</v>
      </c>
    </row>
    <row r="23" spans="1:40" ht="12.75">
      <c r="A23" s="4" t="s">
        <v>14</v>
      </c>
      <c r="B23" s="4"/>
      <c r="C23" s="4" t="s">
        <v>73</v>
      </c>
      <c r="D23" s="4" t="s">
        <v>143</v>
      </c>
      <c r="E23" s="4" t="s">
        <v>209</v>
      </c>
      <c r="F23" s="16">
        <v>61.2</v>
      </c>
      <c r="G23" s="16"/>
      <c r="H23" s="16">
        <f>F23*AB23</f>
        <v>0</v>
      </c>
      <c r="I23" s="16">
        <f>J23-H23</f>
        <v>0</v>
      </c>
      <c r="J23" s="16">
        <f>F23*G23</f>
        <v>0</v>
      </c>
      <c r="K23" s="25" t="s">
        <v>6</v>
      </c>
      <c r="L23" s="16">
        <f>IF(K23="5",I23,0)</f>
        <v>0</v>
      </c>
      <c r="W23" s="16">
        <f>IF(AA23=0,J23,0)</f>
        <v>0</v>
      </c>
      <c r="X23" s="16">
        <f>IF(AA23=15,J23,0)</f>
        <v>0</v>
      </c>
      <c r="Y23" s="16">
        <f>IF(AA23=21,J23,0)</f>
        <v>0</v>
      </c>
      <c r="AA23" s="29">
        <v>21</v>
      </c>
      <c r="AB23" s="29">
        <f>G23*0</f>
        <v>0</v>
      </c>
      <c r="AC23" s="29">
        <f>G23*(1-0)</f>
        <v>0</v>
      </c>
      <c r="AJ23" s="29">
        <f>F23*AB23</f>
        <v>0</v>
      </c>
      <c r="AK23" s="29">
        <f>F23*AC23</f>
        <v>0</v>
      </c>
      <c r="AL23" s="30" t="s">
        <v>239</v>
      </c>
      <c r="AM23" s="30" t="s">
        <v>251</v>
      </c>
      <c r="AN23" s="24" t="s">
        <v>255</v>
      </c>
    </row>
    <row r="24" spans="1:34" ht="12.75">
      <c r="A24" s="5"/>
      <c r="B24" s="13"/>
      <c r="C24" s="13" t="s">
        <v>20</v>
      </c>
      <c r="D24" s="89" t="s">
        <v>144</v>
      </c>
      <c r="E24" s="90"/>
      <c r="F24" s="90"/>
      <c r="G24" s="90"/>
      <c r="H24" s="32">
        <f>SUM(H25:H26)</f>
        <v>0</v>
      </c>
      <c r="I24" s="32">
        <f>SUM(I25:I26)</f>
        <v>0</v>
      </c>
      <c r="J24" s="32">
        <f>H24+I24</f>
        <v>0</v>
      </c>
      <c r="M24" s="32">
        <f>IF(N24="PR",J24,SUM(L25:L26))</f>
        <v>0</v>
      </c>
      <c r="N24" s="24" t="s">
        <v>229</v>
      </c>
      <c r="O24" s="32">
        <f>IF(N24="HS",H24,0)</f>
        <v>0</v>
      </c>
      <c r="P24" s="32">
        <f>IF(N24="HS",I24-M24,0)</f>
        <v>0</v>
      </c>
      <c r="Q24" s="32">
        <f>IF(N24="PS",H24,0)</f>
        <v>0</v>
      </c>
      <c r="R24" s="32">
        <f>IF(N24="PS",I24-M24,0)</f>
        <v>0</v>
      </c>
      <c r="S24" s="32">
        <f>IF(N24="MP",H24,0)</f>
        <v>0</v>
      </c>
      <c r="T24" s="32">
        <f>IF(N24="MP",I24-M24,0)</f>
        <v>0</v>
      </c>
      <c r="U24" s="32">
        <f>IF(N24="OM",H24,0)</f>
        <v>0</v>
      </c>
      <c r="V24" s="24"/>
      <c r="AF24" s="32">
        <f>SUM(W25:W26)</f>
        <v>0</v>
      </c>
      <c r="AG24" s="32">
        <f>SUM(X25:X26)</f>
        <v>0</v>
      </c>
      <c r="AH24" s="32">
        <f>SUM(Y25:Y26)</f>
        <v>0</v>
      </c>
    </row>
    <row r="25" spans="1:40" ht="12.75">
      <c r="A25" s="4" t="s">
        <v>15</v>
      </c>
      <c r="B25" s="4"/>
      <c r="C25" s="4" t="s">
        <v>74</v>
      </c>
      <c r="D25" s="4" t="s">
        <v>145</v>
      </c>
      <c r="E25" s="4" t="s">
        <v>207</v>
      </c>
      <c r="F25" s="16">
        <v>655.65</v>
      </c>
      <c r="G25" s="16"/>
      <c r="H25" s="16">
        <f>F25*AB25</f>
        <v>0</v>
      </c>
      <c r="I25" s="16">
        <f>J25-H25</f>
        <v>0</v>
      </c>
      <c r="J25" s="16">
        <f>F25*G25</f>
        <v>0</v>
      </c>
      <c r="K25" s="25" t="s">
        <v>6</v>
      </c>
      <c r="L25" s="16">
        <f>IF(K25="5",I25,0)</f>
        <v>0</v>
      </c>
      <c r="W25" s="16">
        <f>IF(AA25=0,J25,0)</f>
        <v>0</v>
      </c>
      <c r="X25" s="16">
        <f>IF(AA25=15,J25,0)</f>
        <v>0</v>
      </c>
      <c r="Y25" s="16">
        <f>IF(AA25=21,J25,0)</f>
        <v>0</v>
      </c>
      <c r="AA25" s="29">
        <v>21</v>
      </c>
      <c r="AB25" s="29">
        <f>G25*0.0805557286150396</f>
        <v>0</v>
      </c>
      <c r="AC25" s="29">
        <f>G25*(1-0.0805557286150396)</f>
        <v>0</v>
      </c>
      <c r="AJ25" s="29">
        <f>F25*AB25</f>
        <v>0</v>
      </c>
      <c r="AK25" s="29">
        <f>F25*AC25</f>
        <v>0</v>
      </c>
      <c r="AL25" s="30" t="s">
        <v>240</v>
      </c>
      <c r="AM25" s="30" t="s">
        <v>251</v>
      </c>
      <c r="AN25" s="24" t="s">
        <v>255</v>
      </c>
    </row>
    <row r="26" spans="1:40" ht="12.75">
      <c r="A26" s="4" t="s">
        <v>16</v>
      </c>
      <c r="B26" s="4"/>
      <c r="C26" s="4" t="s">
        <v>75</v>
      </c>
      <c r="D26" s="4" t="s">
        <v>146</v>
      </c>
      <c r="E26" s="4" t="s">
        <v>207</v>
      </c>
      <c r="F26" s="16">
        <v>655.65</v>
      </c>
      <c r="G26" s="16"/>
      <c r="H26" s="16">
        <f>F26*AB26</f>
        <v>0</v>
      </c>
      <c r="I26" s="16">
        <f>J26-H26</f>
        <v>0</v>
      </c>
      <c r="J26" s="16">
        <f>F26*G26</f>
        <v>0</v>
      </c>
      <c r="K26" s="25" t="s">
        <v>6</v>
      </c>
      <c r="L26" s="16">
        <f>IF(K26="5",I26,0)</f>
        <v>0</v>
      </c>
      <c r="W26" s="16">
        <f>IF(AA26=0,J26,0)</f>
        <v>0</v>
      </c>
      <c r="X26" s="16">
        <f>IF(AA26=15,J26,0)</f>
        <v>0</v>
      </c>
      <c r="Y26" s="16">
        <f>IF(AA26=21,J26,0)</f>
        <v>0</v>
      </c>
      <c r="AA26" s="29">
        <v>21</v>
      </c>
      <c r="AB26" s="29">
        <f>G26*0</f>
        <v>0</v>
      </c>
      <c r="AC26" s="29">
        <f>G26*(1-0)</f>
        <v>0</v>
      </c>
      <c r="AJ26" s="29">
        <f>F26*AB26</f>
        <v>0</v>
      </c>
      <c r="AK26" s="29">
        <f>F26*AC26</f>
        <v>0</v>
      </c>
      <c r="AL26" s="30" t="s">
        <v>240</v>
      </c>
      <c r="AM26" s="30" t="s">
        <v>251</v>
      </c>
      <c r="AN26" s="24" t="s">
        <v>255</v>
      </c>
    </row>
    <row r="27" spans="1:34" ht="12.75">
      <c r="A27" s="5"/>
      <c r="B27" s="13"/>
      <c r="C27" s="13" t="s">
        <v>21</v>
      </c>
      <c r="D27" s="89" t="s">
        <v>147</v>
      </c>
      <c r="E27" s="90"/>
      <c r="F27" s="90"/>
      <c r="G27" s="90"/>
      <c r="H27" s="32">
        <f>SUM(H28:H31)</f>
        <v>0</v>
      </c>
      <c r="I27" s="32">
        <f>SUM(I28:I31)</f>
        <v>0</v>
      </c>
      <c r="J27" s="32">
        <f>H27+I27</f>
        <v>0</v>
      </c>
      <c r="M27" s="32">
        <f>IF(N27="PR",J27,SUM(L28:L31))</f>
        <v>0</v>
      </c>
      <c r="N27" s="24" t="s">
        <v>229</v>
      </c>
      <c r="O27" s="32">
        <f>IF(N27="HS",H27,0)</f>
        <v>0</v>
      </c>
      <c r="P27" s="32">
        <f>IF(N27="HS",I27-M27,0)</f>
        <v>0</v>
      </c>
      <c r="Q27" s="32">
        <f>IF(N27="PS",H27,0)</f>
        <v>0</v>
      </c>
      <c r="R27" s="32">
        <f>IF(N27="PS",I27-M27,0)</f>
        <v>0</v>
      </c>
      <c r="S27" s="32">
        <f>IF(N27="MP",H27,0)</f>
        <v>0</v>
      </c>
      <c r="T27" s="32">
        <f>IF(N27="MP",I27-M27,0)</f>
        <v>0</v>
      </c>
      <c r="U27" s="32">
        <f>IF(N27="OM",H27,0)</f>
        <v>0</v>
      </c>
      <c r="V27" s="24"/>
      <c r="AF27" s="32">
        <f>SUM(W28:W31)</f>
        <v>0</v>
      </c>
      <c r="AG27" s="32">
        <f>SUM(X28:X31)</f>
        <v>0</v>
      </c>
      <c r="AH27" s="32">
        <f>SUM(Y28:Y31)</f>
        <v>0</v>
      </c>
    </row>
    <row r="28" spans="1:40" ht="12.75">
      <c r="A28" s="4" t="s">
        <v>17</v>
      </c>
      <c r="B28" s="4"/>
      <c r="C28" s="4" t="s">
        <v>76</v>
      </c>
      <c r="D28" s="4" t="s">
        <v>148</v>
      </c>
      <c r="E28" s="4" t="s">
        <v>209</v>
      </c>
      <c r="F28" s="16">
        <v>393.39</v>
      </c>
      <c r="G28" s="16"/>
      <c r="H28" s="16">
        <f>F28*AB28</f>
        <v>0</v>
      </c>
      <c r="I28" s="16">
        <f>J28-H28</f>
        <v>0</v>
      </c>
      <c r="J28" s="16">
        <f>F28*G28</f>
        <v>0</v>
      </c>
      <c r="K28" s="25" t="s">
        <v>6</v>
      </c>
      <c r="L28" s="16">
        <f>IF(K28="5",I28,0)</f>
        <v>0</v>
      </c>
      <c r="W28" s="16">
        <f>IF(AA28=0,J28,0)</f>
        <v>0</v>
      </c>
      <c r="X28" s="16">
        <f>IF(AA28=15,J28,0)</f>
        <v>0</v>
      </c>
      <c r="Y28" s="16">
        <f>IF(AA28=21,J28,0)</f>
        <v>0</v>
      </c>
      <c r="AA28" s="29">
        <v>21</v>
      </c>
      <c r="AB28" s="29">
        <f>G28*0</f>
        <v>0</v>
      </c>
      <c r="AC28" s="29">
        <f>G28*(1-0)</f>
        <v>0</v>
      </c>
      <c r="AJ28" s="29">
        <f>F28*AB28</f>
        <v>0</v>
      </c>
      <c r="AK28" s="29">
        <f>F28*AC28</f>
        <v>0</v>
      </c>
      <c r="AL28" s="30" t="s">
        <v>241</v>
      </c>
      <c r="AM28" s="30" t="s">
        <v>251</v>
      </c>
      <c r="AN28" s="24" t="s">
        <v>255</v>
      </c>
    </row>
    <row r="29" spans="1:40" ht="12.75">
      <c r="A29" s="4" t="s">
        <v>18</v>
      </c>
      <c r="B29" s="4"/>
      <c r="C29" s="4" t="s">
        <v>77</v>
      </c>
      <c r="D29" s="4" t="s">
        <v>149</v>
      </c>
      <c r="E29" s="4" t="s">
        <v>209</v>
      </c>
      <c r="F29" s="16">
        <v>209.81</v>
      </c>
      <c r="G29" s="16"/>
      <c r="H29" s="16">
        <f>F29*AB29</f>
        <v>0</v>
      </c>
      <c r="I29" s="16">
        <f>J29-H29</f>
        <v>0</v>
      </c>
      <c r="J29" s="16">
        <f>F29*G29</f>
        <v>0</v>
      </c>
      <c r="K29" s="25" t="s">
        <v>6</v>
      </c>
      <c r="L29" s="16">
        <f>IF(K29="5",I29,0)</f>
        <v>0</v>
      </c>
      <c r="W29" s="16">
        <f>IF(AA29=0,J29,0)</f>
        <v>0</v>
      </c>
      <c r="X29" s="16">
        <f>IF(AA29=15,J29,0)</f>
        <v>0</v>
      </c>
      <c r="Y29" s="16">
        <f>IF(AA29=21,J29,0)</f>
        <v>0</v>
      </c>
      <c r="AA29" s="29">
        <v>21</v>
      </c>
      <c r="AB29" s="29">
        <f>G29*0</f>
        <v>0</v>
      </c>
      <c r="AC29" s="29">
        <f>G29*(1-0)</f>
        <v>0</v>
      </c>
      <c r="AJ29" s="29">
        <f>F29*AB29</f>
        <v>0</v>
      </c>
      <c r="AK29" s="29">
        <f>F29*AC29</f>
        <v>0</v>
      </c>
      <c r="AL29" s="30" t="s">
        <v>241</v>
      </c>
      <c r="AM29" s="30" t="s">
        <v>251</v>
      </c>
      <c r="AN29" s="24" t="s">
        <v>255</v>
      </c>
    </row>
    <row r="30" spans="1:40" ht="12.75">
      <c r="A30" s="4" t="s">
        <v>19</v>
      </c>
      <c r="B30" s="4"/>
      <c r="C30" s="4" t="s">
        <v>78</v>
      </c>
      <c r="D30" s="4" t="s">
        <v>150</v>
      </c>
      <c r="E30" s="4" t="s">
        <v>209</v>
      </c>
      <c r="F30" s="16">
        <v>209.81</v>
      </c>
      <c r="G30" s="16"/>
      <c r="H30" s="16">
        <f>F30*AB30</f>
        <v>0</v>
      </c>
      <c r="I30" s="16">
        <f>J30-H30</f>
        <v>0</v>
      </c>
      <c r="J30" s="16">
        <f>F30*G30</f>
        <v>0</v>
      </c>
      <c r="K30" s="25" t="s">
        <v>6</v>
      </c>
      <c r="L30" s="16">
        <f>IF(K30="5",I30,0)</f>
        <v>0</v>
      </c>
      <c r="W30" s="16">
        <f>IF(AA30=0,J30,0)</f>
        <v>0</v>
      </c>
      <c r="X30" s="16">
        <f>IF(AA30=15,J30,0)</f>
        <v>0</v>
      </c>
      <c r="Y30" s="16">
        <f>IF(AA30=21,J30,0)</f>
        <v>0</v>
      </c>
      <c r="AA30" s="29">
        <v>21</v>
      </c>
      <c r="AB30" s="29">
        <f>G30*0</f>
        <v>0</v>
      </c>
      <c r="AC30" s="29">
        <f>G30*(1-0)</f>
        <v>0</v>
      </c>
      <c r="AJ30" s="29">
        <f>F30*AB30</f>
        <v>0</v>
      </c>
      <c r="AK30" s="29">
        <f>F30*AC30</f>
        <v>0</v>
      </c>
      <c r="AL30" s="30" t="s">
        <v>241</v>
      </c>
      <c r="AM30" s="30" t="s">
        <v>251</v>
      </c>
      <c r="AN30" s="24" t="s">
        <v>255</v>
      </c>
    </row>
    <row r="31" spans="1:40" ht="12.75">
      <c r="A31" s="4" t="s">
        <v>20</v>
      </c>
      <c r="B31" s="4"/>
      <c r="C31" s="4" t="s">
        <v>79</v>
      </c>
      <c r="D31" s="4" t="s">
        <v>151</v>
      </c>
      <c r="E31" s="4" t="s">
        <v>209</v>
      </c>
      <c r="F31" s="16">
        <v>629.43</v>
      </c>
      <c r="G31" s="16"/>
      <c r="H31" s="16">
        <f>F31*AB31</f>
        <v>0</v>
      </c>
      <c r="I31" s="16">
        <f>J31-H31</f>
        <v>0</v>
      </c>
      <c r="J31" s="16">
        <f>F31*G31</f>
        <v>0</v>
      </c>
      <c r="K31" s="25" t="s">
        <v>6</v>
      </c>
      <c r="L31" s="16">
        <f>IF(K31="5",I31,0)</f>
        <v>0</v>
      </c>
      <c r="W31" s="16">
        <f>IF(AA31=0,J31,0)</f>
        <v>0</v>
      </c>
      <c r="X31" s="16">
        <f>IF(AA31=15,J31,0)</f>
        <v>0</v>
      </c>
      <c r="Y31" s="16">
        <f>IF(AA31=21,J31,0)</f>
        <v>0</v>
      </c>
      <c r="AA31" s="29">
        <v>21</v>
      </c>
      <c r="AB31" s="29">
        <f>G31*0</f>
        <v>0</v>
      </c>
      <c r="AC31" s="29">
        <f>G31*(1-0)</f>
        <v>0</v>
      </c>
      <c r="AJ31" s="29">
        <f>F31*AB31</f>
        <v>0</v>
      </c>
      <c r="AK31" s="29">
        <f>F31*AC31</f>
        <v>0</v>
      </c>
      <c r="AL31" s="30" t="s">
        <v>241</v>
      </c>
      <c r="AM31" s="30" t="s">
        <v>251</v>
      </c>
      <c r="AN31" s="24" t="s">
        <v>255</v>
      </c>
    </row>
    <row r="32" spans="1:34" ht="12.75">
      <c r="A32" s="5"/>
      <c r="B32" s="13"/>
      <c r="C32" s="13" t="s">
        <v>22</v>
      </c>
      <c r="D32" s="89" t="s">
        <v>152</v>
      </c>
      <c r="E32" s="90"/>
      <c r="F32" s="90"/>
      <c r="G32" s="90"/>
      <c r="H32" s="32">
        <f>SUM(H33:H34)</f>
        <v>0</v>
      </c>
      <c r="I32" s="32">
        <f>SUM(I33:I34)</f>
        <v>0</v>
      </c>
      <c r="J32" s="32">
        <f>H32+I32</f>
        <v>0</v>
      </c>
      <c r="M32" s="32">
        <f>IF(N32="PR",J32,SUM(L33:L34))</f>
        <v>0</v>
      </c>
      <c r="N32" s="24" t="s">
        <v>229</v>
      </c>
      <c r="O32" s="32">
        <f>IF(N32="HS",H32,0)</f>
        <v>0</v>
      </c>
      <c r="P32" s="32">
        <f>IF(N32="HS",I32-M32,0)</f>
        <v>0</v>
      </c>
      <c r="Q32" s="32">
        <f>IF(N32="PS",H32,0)</f>
        <v>0</v>
      </c>
      <c r="R32" s="32">
        <f>IF(N32="PS",I32-M32,0)</f>
        <v>0</v>
      </c>
      <c r="S32" s="32">
        <f>IF(N32="MP",H32,0)</f>
        <v>0</v>
      </c>
      <c r="T32" s="32">
        <f>IF(N32="MP",I32-M32,0)</f>
        <v>0</v>
      </c>
      <c r="U32" s="32">
        <f>IF(N32="OM",H32,0)</f>
        <v>0</v>
      </c>
      <c r="V32" s="24"/>
      <c r="AF32" s="32">
        <f>SUM(W33:W34)</f>
        <v>0</v>
      </c>
      <c r="AG32" s="32">
        <f>SUM(X33:X34)</f>
        <v>0</v>
      </c>
      <c r="AH32" s="32">
        <f>SUM(Y33:Y34)</f>
        <v>0</v>
      </c>
    </row>
    <row r="33" spans="1:40" ht="12.75">
      <c r="A33" s="4" t="s">
        <v>21</v>
      </c>
      <c r="B33" s="4"/>
      <c r="C33" s="4" t="s">
        <v>80</v>
      </c>
      <c r="D33" s="4" t="s">
        <v>153</v>
      </c>
      <c r="E33" s="4" t="s">
        <v>209</v>
      </c>
      <c r="F33" s="16">
        <v>147.39</v>
      </c>
      <c r="G33" s="16"/>
      <c r="H33" s="16">
        <f>F33*AB33</f>
        <v>0</v>
      </c>
      <c r="I33" s="16">
        <f>J33-H33</f>
        <v>0</v>
      </c>
      <c r="J33" s="16">
        <f>F33*G33</f>
        <v>0</v>
      </c>
      <c r="K33" s="25" t="s">
        <v>6</v>
      </c>
      <c r="L33" s="16">
        <f>IF(K33="5",I33,0)</f>
        <v>0</v>
      </c>
      <c r="W33" s="16">
        <f>IF(AA33=0,J33,0)</f>
        <v>0</v>
      </c>
      <c r="X33" s="16">
        <f>IF(AA33=15,J33,0)</f>
        <v>0</v>
      </c>
      <c r="Y33" s="16">
        <f>IF(AA33=21,J33,0)</f>
        <v>0</v>
      </c>
      <c r="AA33" s="29">
        <v>21</v>
      </c>
      <c r="AB33" s="29">
        <f>G33*0.590384615384615</f>
        <v>0</v>
      </c>
      <c r="AC33" s="29">
        <f>G33*(1-0.590384615384615)</f>
        <v>0</v>
      </c>
      <c r="AJ33" s="29">
        <f>F33*AB33</f>
        <v>0</v>
      </c>
      <c r="AK33" s="29">
        <f>F33*AC33</f>
        <v>0</v>
      </c>
      <c r="AL33" s="30" t="s">
        <v>242</v>
      </c>
      <c r="AM33" s="30" t="s">
        <v>251</v>
      </c>
      <c r="AN33" s="24" t="s">
        <v>255</v>
      </c>
    </row>
    <row r="34" spans="1:40" ht="12.75">
      <c r="A34" s="4" t="s">
        <v>22</v>
      </c>
      <c r="B34" s="4"/>
      <c r="C34" s="4" t="s">
        <v>81</v>
      </c>
      <c r="D34" s="4" t="s">
        <v>154</v>
      </c>
      <c r="E34" s="4" t="s">
        <v>209</v>
      </c>
      <c r="F34" s="16">
        <v>183.58</v>
      </c>
      <c r="G34" s="16"/>
      <c r="H34" s="16">
        <f>F34*AB34</f>
        <v>0</v>
      </c>
      <c r="I34" s="16">
        <f>J34-H34</f>
        <v>0</v>
      </c>
      <c r="J34" s="16">
        <f>F34*G34</f>
        <v>0</v>
      </c>
      <c r="K34" s="25" t="s">
        <v>6</v>
      </c>
      <c r="L34" s="16">
        <f>IF(K34="5",I34,0)</f>
        <v>0</v>
      </c>
      <c r="W34" s="16">
        <f>IF(AA34=0,J34,0)</f>
        <v>0</v>
      </c>
      <c r="X34" s="16">
        <f>IF(AA34=15,J34,0)</f>
        <v>0</v>
      </c>
      <c r="Y34" s="16">
        <f>IF(AA34=21,J34,0)</f>
        <v>0</v>
      </c>
      <c r="AA34" s="29">
        <v>21</v>
      </c>
      <c r="AB34" s="29">
        <f>G34*0</f>
        <v>0</v>
      </c>
      <c r="AC34" s="29">
        <f>G34*(1-0)</f>
        <v>0</v>
      </c>
      <c r="AJ34" s="29">
        <f>F34*AB34</f>
        <v>0</v>
      </c>
      <c r="AK34" s="29">
        <f>F34*AC34</f>
        <v>0</v>
      </c>
      <c r="AL34" s="30" t="s">
        <v>242</v>
      </c>
      <c r="AM34" s="30" t="s">
        <v>251</v>
      </c>
      <c r="AN34" s="24" t="s">
        <v>255</v>
      </c>
    </row>
    <row r="35" spans="1:34" ht="12.75">
      <c r="A35" s="5"/>
      <c r="B35" s="13"/>
      <c r="C35" s="13" t="s">
        <v>82</v>
      </c>
      <c r="D35" s="89" t="s">
        <v>155</v>
      </c>
      <c r="E35" s="90"/>
      <c r="F35" s="90"/>
      <c r="G35" s="90"/>
      <c r="H35" s="32">
        <f>SUM(H36:H38)</f>
        <v>0</v>
      </c>
      <c r="I35" s="32">
        <f>SUM(I36:I38)</f>
        <v>0</v>
      </c>
      <c r="J35" s="32">
        <f>H35+I35</f>
        <v>0</v>
      </c>
      <c r="M35" s="32">
        <f>IF(N35="PR",J35,SUM(L36:L38))</f>
        <v>0</v>
      </c>
      <c r="N35" s="24" t="s">
        <v>229</v>
      </c>
      <c r="O35" s="32">
        <f>IF(N35="HS",H35,0)</f>
        <v>0</v>
      </c>
      <c r="P35" s="32">
        <f>IF(N35="HS",I35-M35,0)</f>
        <v>0</v>
      </c>
      <c r="Q35" s="32">
        <f>IF(N35="PS",H35,0)</f>
        <v>0</v>
      </c>
      <c r="R35" s="32">
        <f>IF(N35="PS",I35-M35,0)</f>
        <v>0</v>
      </c>
      <c r="S35" s="32">
        <f>IF(N35="MP",H35,0)</f>
        <v>0</v>
      </c>
      <c r="T35" s="32">
        <f>IF(N35="MP",I35-M35,0)</f>
        <v>0</v>
      </c>
      <c r="U35" s="32">
        <f>IF(N35="OM",H35,0)</f>
        <v>0</v>
      </c>
      <c r="V35" s="24"/>
      <c r="AF35" s="32">
        <f>SUM(W36:W38)</f>
        <v>0</v>
      </c>
      <c r="AG35" s="32">
        <f>SUM(X36:X38)</f>
        <v>0</v>
      </c>
      <c r="AH35" s="32">
        <f>SUM(Y36:Y38)</f>
        <v>0</v>
      </c>
    </row>
    <row r="36" spans="1:40" ht="12.75">
      <c r="A36" s="4" t="s">
        <v>23</v>
      </c>
      <c r="B36" s="4"/>
      <c r="C36" s="4" t="s">
        <v>83</v>
      </c>
      <c r="D36" s="4" t="s">
        <v>156</v>
      </c>
      <c r="E36" s="4" t="s">
        <v>207</v>
      </c>
      <c r="F36" s="16">
        <v>262.26</v>
      </c>
      <c r="G36" s="16"/>
      <c r="H36" s="16">
        <f>F36*AB36</f>
        <v>0</v>
      </c>
      <c r="I36" s="16">
        <f>J36-H36</f>
        <v>0</v>
      </c>
      <c r="J36" s="16">
        <f>F36*G36</f>
        <v>0</v>
      </c>
      <c r="K36" s="25" t="s">
        <v>6</v>
      </c>
      <c r="L36" s="16">
        <f>IF(K36="5",I36,0)</f>
        <v>0</v>
      </c>
      <c r="W36" s="16">
        <f>IF(AA36=0,J36,0)</f>
        <v>0</v>
      </c>
      <c r="X36" s="16">
        <f>IF(AA36=15,J36,0)</f>
        <v>0</v>
      </c>
      <c r="Y36" s="16">
        <f>IF(AA36=21,J36,0)</f>
        <v>0</v>
      </c>
      <c r="AA36" s="29">
        <v>21</v>
      </c>
      <c r="AB36" s="29">
        <f>G36*0.854901960784314</f>
        <v>0</v>
      </c>
      <c r="AC36" s="29">
        <f>G36*(1-0.854901960784314)</f>
        <v>0</v>
      </c>
      <c r="AJ36" s="29">
        <f>F36*AB36</f>
        <v>0</v>
      </c>
      <c r="AK36" s="29">
        <f>F36*AC36</f>
        <v>0</v>
      </c>
      <c r="AL36" s="30" t="s">
        <v>243</v>
      </c>
      <c r="AM36" s="30" t="s">
        <v>252</v>
      </c>
      <c r="AN36" s="24" t="s">
        <v>255</v>
      </c>
    </row>
    <row r="37" spans="1:40" ht="12.75">
      <c r="A37" s="4" t="s">
        <v>24</v>
      </c>
      <c r="B37" s="4"/>
      <c r="C37" s="4" t="s">
        <v>84</v>
      </c>
      <c r="D37" s="4" t="s">
        <v>157</v>
      </c>
      <c r="E37" s="4" t="s">
        <v>207</v>
      </c>
      <c r="F37" s="16">
        <v>262.26</v>
      </c>
      <c r="G37" s="16"/>
      <c r="H37" s="16">
        <f>F37*AB37</f>
        <v>0</v>
      </c>
      <c r="I37" s="16">
        <f>J37-H37</f>
        <v>0</v>
      </c>
      <c r="J37" s="16">
        <f>F37*G37</f>
        <v>0</v>
      </c>
      <c r="K37" s="25" t="s">
        <v>6</v>
      </c>
      <c r="L37" s="16">
        <f>IF(K37="5",I37,0)</f>
        <v>0</v>
      </c>
      <c r="W37" s="16">
        <f>IF(AA37=0,J37,0)</f>
        <v>0</v>
      </c>
      <c r="X37" s="16">
        <f>IF(AA37=15,J37,0)</f>
        <v>0</v>
      </c>
      <c r="Y37" s="16">
        <f>IF(AA37=21,J37,0)</f>
        <v>0</v>
      </c>
      <c r="AA37" s="29">
        <v>21</v>
      </c>
      <c r="AB37" s="29">
        <f>G37*0.853420965530285</f>
        <v>0</v>
      </c>
      <c r="AC37" s="29">
        <f>G37*(1-0.853420965530285)</f>
        <v>0</v>
      </c>
      <c r="AJ37" s="29">
        <f>F37*AB37</f>
        <v>0</v>
      </c>
      <c r="AK37" s="29">
        <f>F37*AC37</f>
        <v>0</v>
      </c>
      <c r="AL37" s="30" t="s">
        <v>243</v>
      </c>
      <c r="AM37" s="30" t="s">
        <v>252</v>
      </c>
      <c r="AN37" s="24" t="s">
        <v>255</v>
      </c>
    </row>
    <row r="38" spans="1:40" ht="12.75">
      <c r="A38" s="4" t="s">
        <v>25</v>
      </c>
      <c r="B38" s="4"/>
      <c r="C38" s="4" t="s">
        <v>85</v>
      </c>
      <c r="D38" s="4" t="s">
        <v>158</v>
      </c>
      <c r="E38" s="4" t="s">
        <v>207</v>
      </c>
      <c r="F38" s="16">
        <v>305.97</v>
      </c>
      <c r="G38" s="16"/>
      <c r="H38" s="16">
        <f>F38*AB38</f>
        <v>0</v>
      </c>
      <c r="I38" s="16">
        <f>J38-H38</f>
        <v>0</v>
      </c>
      <c r="J38" s="16">
        <f>F38*G38</f>
        <v>0</v>
      </c>
      <c r="K38" s="25" t="s">
        <v>6</v>
      </c>
      <c r="L38" s="16">
        <f>IF(K38="5",I38,0)</f>
        <v>0</v>
      </c>
      <c r="W38" s="16">
        <f>IF(AA38=0,J38,0)</f>
        <v>0</v>
      </c>
      <c r="X38" s="16">
        <f>IF(AA38=15,J38,0)</f>
        <v>0</v>
      </c>
      <c r="Y38" s="16">
        <f>IF(AA38=21,J38,0)</f>
        <v>0</v>
      </c>
      <c r="AA38" s="29">
        <v>21</v>
      </c>
      <c r="AB38" s="29">
        <f>G38*0.826234567901235</f>
        <v>0</v>
      </c>
      <c r="AC38" s="29">
        <f>G38*(1-0.826234567901235)</f>
        <v>0</v>
      </c>
      <c r="AJ38" s="29">
        <f>F38*AB38</f>
        <v>0</v>
      </c>
      <c r="AK38" s="29">
        <f>F38*AC38</f>
        <v>0</v>
      </c>
      <c r="AL38" s="30" t="s">
        <v>243</v>
      </c>
      <c r="AM38" s="30" t="s">
        <v>252</v>
      </c>
      <c r="AN38" s="24" t="s">
        <v>255</v>
      </c>
    </row>
    <row r="39" spans="1:34" ht="12.75">
      <c r="A39" s="5"/>
      <c r="B39" s="13"/>
      <c r="C39" s="13" t="s">
        <v>86</v>
      </c>
      <c r="D39" s="89" t="s">
        <v>159</v>
      </c>
      <c r="E39" s="90"/>
      <c r="F39" s="90"/>
      <c r="G39" s="90"/>
      <c r="H39" s="32">
        <f>SUM(H40:H42)</f>
        <v>0</v>
      </c>
      <c r="I39" s="32">
        <f>SUM(I40:I42)</f>
        <v>0</v>
      </c>
      <c r="J39" s="32">
        <f>H39+I39</f>
        <v>0</v>
      </c>
      <c r="M39" s="32">
        <f>IF(N39="PR",J39,SUM(L40:L42))</f>
        <v>0</v>
      </c>
      <c r="N39" s="24" t="s">
        <v>229</v>
      </c>
      <c r="O39" s="32">
        <f>IF(N39="HS",H39,0)</f>
        <v>0</v>
      </c>
      <c r="P39" s="32">
        <f>IF(N39="HS",I39-M39,0)</f>
        <v>0</v>
      </c>
      <c r="Q39" s="32">
        <f>IF(N39="PS",H39,0)</f>
        <v>0</v>
      </c>
      <c r="R39" s="32">
        <f>IF(N39="PS",I39-M39,0)</f>
        <v>0</v>
      </c>
      <c r="S39" s="32">
        <f>IF(N39="MP",H39,0)</f>
        <v>0</v>
      </c>
      <c r="T39" s="32">
        <f>IF(N39="MP",I39-M39,0)</f>
        <v>0</v>
      </c>
      <c r="U39" s="32">
        <f>IF(N39="OM",H39,0)</f>
        <v>0</v>
      </c>
      <c r="V39" s="24"/>
      <c r="AF39" s="32">
        <f>SUM(W40:W42)</f>
        <v>0</v>
      </c>
      <c r="AG39" s="32">
        <f>SUM(X40:X42)</f>
        <v>0</v>
      </c>
      <c r="AH39" s="32">
        <f>SUM(Y40:Y42)</f>
        <v>0</v>
      </c>
    </row>
    <row r="40" spans="1:40" ht="12.75">
      <c r="A40" s="4" t="s">
        <v>26</v>
      </c>
      <c r="B40" s="4"/>
      <c r="C40" s="4" t="s">
        <v>87</v>
      </c>
      <c r="D40" s="4" t="s">
        <v>160</v>
      </c>
      <c r="E40" s="4" t="s">
        <v>207</v>
      </c>
      <c r="F40" s="16">
        <v>305.97</v>
      </c>
      <c r="G40" s="16"/>
      <c r="H40" s="16">
        <f>F40*AB40</f>
        <v>0</v>
      </c>
      <c r="I40" s="16">
        <f>J40-H40</f>
        <v>0</v>
      </c>
      <c r="J40" s="16">
        <f>F40*G40</f>
        <v>0</v>
      </c>
      <c r="K40" s="25" t="s">
        <v>6</v>
      </c>
      <c r="L40" s="16">
        <f>IF(K40="5",I40,0)</f>
        <v>0</v>
      </c>
      <c r="W40" s="16">
        <f>IF(AA40=0,J40,0)</f>
        <v>0</v>
      </c>
      <c r="X40" s="16">
        <f>IF(AA40=15,J40,0)</f>
        <v>0</v>
      </c>
      <c r="Y40" s="16">
        <f>IF(AA40=21,J40,0)</f>
        <v>0</v>
      </c>
      <c r="AA40" s="29">
        <v>21</v>
      </c>
      <c r="AB40" s="29">
        <f>G40*0.868137506413546</f>
        <v>0</v>
      </c>
      <c r="AC40" s="29">
        <f>G40*(1-0.868137506413546)</f>
        <v>0</v>
      </c>
      <c r="AJ40" s="29">
        <f>F40*AB40</f>
        <v>0</v>
      </c>
      <c r="AK40" s="29">
        <f>F40*AC40</f>
        <v>0</v>
      </c>
      <c r="AL40" s="30" t="s">
        <v>244</v>
      </c>
      <c r="AM40" s="30" t="s">
        <v>252</v>
      </c>
      <c r="AN40" s="24" t="s">
        <v>255</v>
      </c>
    </row>
    <row r="41" spans="1:40" ht="12.75">
      <c r="A41" s="4" t="s">
        <v>27</v>
      </c>
      <c r="B41" s="4"/>
      <c r="C41" s="4" t="s">
        <v>88</v>
      </c>
      <c r="D41" s="4" t="s">
        <v>161</v>
      </c>
      <c r="E41" s="4" t="s">
        <v>207</v>
      </c>
      <c r="F41" s="16">
        <v>305.97</v>
      </c>
      <c r="G41" s="16"/>
      <c r="H41" s="16">
        <f>F41*AB41</f>
        <v>0</v>
      </c>
      <c r="I41" s="16">
        <f>J41-H41</f>
        <v>0</v>
      </c>
      <c r="J41" s="16">
        <f>F41*G41</f>
        <v>0</v>
      </c>
      <c r="K41" s="25" t="s">
        <v>6</v>
      </c>
      <c r="L41" s="16">
        <f>IF(K41="5",I41,0)</f>
        <v>0</v>
      </c>
      <c r="W41" s="16">
        <f>IF(AA41=0,J41,0)</f>
        <v>0</v>
      </c>
      <c r="X41" s="16">
        <f>IF(AA41=15,J41,0)</f>
        <v>0</v>
      </c>
      <c r="Y41" s="16">
        <f>IF(AA41=21,J41,0)</f>
        <v>0</v>
      </c>
      <c r="AA41" s="29">
        <v>21</v>
      </c>
      <c r="AB41" s="29">
        <f>G41*0.939796716184519</f>
        <v>0</v>
      </c>
      <c r="AC41" s="29">
        <f>G41*(1-0.939796716184519)</f>
        <v>0</v>
      </c>
      <c r="AJ41" s="29">
        <f>F41*AB41</f>
        <v>0</v>
      </c>
      <c r="AK41" s="29">
        <f>F41*AC41</f>
        <v>0</v>
      </c>
      <c r="AL41" s="30" t="s">
        <v>244</v>
      </c>
      <c r="AM41" s="30" t="s">
        <v>252</v>
      </c>
      <c r="AN41" s="24" t="s">
        <v>255</v>
      </c>
    </row>
    <row r="42" spans="1:40" ht="12.75">
      <c r="A42" s="4" t="s">
        <v>28</v>
      </c>
      <c r="B42" s="4"/>
      <c r="C42" s="4" t="s">
        <v>89</v>
      </c>
      <c r="D42" s="4" t="s">
        <v>162</v>
      </c>
      <c r="E42" s="4" t="s">
        <v>207</v>
      </c>
      <c r="F42" s="16">
        <v>305.97</v>
      </c>
      <c r="G42" s="16"/>
      <c r="H42" s="16">
        <f>F42*AB42</f>
        <v>0</v>
      </c>
      <c r="I42" s="16">
        <f>J42-H42</f>
        <v>0</v>
      </c>
      <c r="J42" s="16">
        <f>F42*G42</f>
        <v>0</v>
      </c>
      <c r="K42" s="25" t="s">
        <v>6</v>
      </c>
      <c r="L42" s="16">
        <f>IF(K42="5",I42,0)</f>
        <v>0</v>
      </c>
      <c r="W42" s="16">
        <f>IF(AA42=0,J42,0)</f>
        <v>0</v>
      </c>
      <c r="X42" s="16">
        <f>IF(AA42=15,J42,0)</f>
        <v>0</v>
      </c>
      <c r="Y42" s="16">
        <f>IF(AA42=21,J42,0)</f>
        <v>0</v>
      </c>
      <c r="AA42" s="29">
        <v>21</v>
      </c>
      <c r="AB42" s="29">
        <f>G42*0.871816070233455</f>
        <v>0</v>
      </c>
      <c r="AC42" s="29">
        <f>G42*(1-0.871816070233455)</f>
        <v>0</v>
      </c>
      <c r="AJ42" s="29">
        <f>F42*AB42</f>
        <v>0</v>
      </c>
      <c r="AK42" s="29">
        <f>F42*AC42</f>
        <v>0</v>
      </c>
      <c r="AL42" s="30" t="s">
        <v>244</v>
      </c>
      <c r="AM42" s="30" t="s">
        <v>252</v>
      </c>
      <c r="AN42" s="24" t="s">
        <v>255</v>
      </c>
    </row>
    <row r="43" spans="1:34" ht="12.75">
      <c r="A43" s="5"/>
      <c r="B43" s="13"/>
      <c r="C43" s="13" t="s">
        <v>90</v>
      </c>
      <c r="D43" s="89" t="s">
        <v>163</v>
      </c>
      <c r="E43" s="90"/>
      <c r="F43" s="90"/>
      <c r="G43" s="90"/>
      <c r="H43" s="32">
        <f>SUM(H44:H49)</f>
        <v>0</v>
      </c>
      <c r="I43" s="32">
        <f>SUM(I44:I49)</f>
        <v>0</v>
      </c>
      <c r="J43" s="32">
        <f>H43+I43</f>
        <v>0</v>
      </c>
      <c r="M43" s="32">
        <f>IF(N43="PR",J43,SUM(L44:L49))</f>
        <v>0</v>
      </c>
      <c r="N43" s="24" t="s">
        <v>229</v>
      </c>
      <c r="O43" s="32">
        <f>IF(N43="HS",H43,0)</f>
        <v>0</v>
      </c>
      <c r="P43" s="32">
        <f>IF(N43="HS",I43-M43,0)</f>
        <v>0</v>
      </c>
      <c r="Q43" s="32">
        <f>IF(N43="PS",H43,0)</f>
        <v>0</v>
      </c>
      <c r="R43" s="32">
        <f>IF(N43="PS",I43-M43,0)</f>
        <v>0</v>
      </c>
      <c r="S43" s="32">
        <f>IF(N43="MP",H43,0)</f>
        <v>0</v>
      </c>
      <c r="T43" s="32">
        <f>IF(N43="MP",I43-M43,0)</f>
        <v>0</v>
      </c>
      <c r="U43" s="32">
        <f>IF(N43="OM",H43,0)</f>
        <v>0</v>
      </c>
      <c r="V43" s="24"/>
      <c r="AF43" s="32">
        <f>SUM(W44:W49)</f>
        <v>0</v>
      </c>
      <c r="AG43" s="32">
        <f>SUM(X44:X49)</f>
        <v>0</v>
      </c>
      <c r="AH43" s="32">
        <f>SUM(Y44:Y49)</f>
        <v>0</v>
      </c>
    </row>
    <row r="44" spans="1:40" ht="12.75">
      <c r="A44" s="4" t="s">
        <v>29</v>
      </c>
      <c r="B44" s="4"/>
      <c r="C44" s="4" t="s">
        <v>91</v>
      </c>
      <c r="D44" s="4" t="s">
        <v>164</v>
      </c>
      <c r="E44" s="4" t="s">
        <v>210</v>
      </c>
      <c r="F44" s="16">
        <v>218.55</v>
      </c>
      <c r="G44" s="16"/>
      <c r="H44" s="16">
        <f aca="true" t="shared" si="0" ref="H44:H49">F44*AB44</f>
        <v>0</v>
      </c>
      <c r="I44" s="16">
        <f aca="true" t="shared" si="1" ref="I44:I49">J44-H44</f>
        <v>0</v>
      </c>
      <c r="J44" s="16">
        <f aca="true" t="shared" si="2" ref="J44:J49">F44*G44</f>
        <v>0</v>
      </c>
      <c r="K44" s="25" t="s">
        <v>6</v>
      </c>
      <c r="L44" s="16">
        <f aca="true" t="shared" si="3" ref="L44:L49">IF(K44="5",I44,0)</f>
        <v>0</v>
      </c>
      <c r="W44" s="16">
        <f aca="true" t="shared" si="4" ref="W44:W49">IF(AA44=0,J44,0)</f>
        <v>0</v>
      </c>
      <c r="X44" s="16">
        <f aca="true" t="shared" si="5" ref="X44:X49">IF(AA44=15,J44,0)</f>
        <v>0</v>
      </c>
      <c r="Y44" s="16">
        <f aca="true" t="shared" si="6" ref="Y44:Y49">IF(AA44=21,J44,0)</f>
        <v>0</v>
      </c>
      <c r="AA44" s="29">
        <v>21</v>
      </c>
      <c r="AB44" s="29">
        <f>G44*0.00598802395209581</f>
        <v>0</v>
      </c>
      <c r="AC44" s="29">
        <f>G44*(1-0.00598802395209581)</f>
        <v>0</v>
      </c>
      <c r="AJ44" s="29">
        <f aca="true" t="shared" si="7" ref="AJ44:AJ49">F44*AB44</f>
        <v>0</v>
      </c>
      <c r="AK44" s="29">
        <f aca="true" t="shared" si="8" ref="AK44:AK49">F44*AC44</f>
        <v>0</v>
      </c>
      <c r="AL44" s="30" t="s">
        <v>245</v>
      </c>
      <c r="AM44" s="30" t="s">
        <v>253</v>
      </c>
      <c r="AN44" s="24" t="s">
        <v>255</v>
      </c>
    </row>
    <row r="45" spans="1:40" ht="12.75">
      <c r="A45" s="6" t="s">
        <v>30</v>
      </c>
      <c r="B45" s="6"/>
      <c r="C45" s="6" t="s">
        <v>92</v>
      </c>
      <c r="D45" s="6" t="s">
        <v>165</v>
      </c>
      <c r="E45" s="6" t="s">
        <v>211</v>
      </c>
      <c r="F45" s="17">
        <v>7</v>
      </c>
      <c r="G45" s="17"/>
      <c r="H45" s="17">
        <f t="shared" si="0"/>
        <v>0</v>
      </c>
      <c r="I45" s="17">
        <f t="shared" si="1"/>
        <v>0</v>
      </c>
      <c r="J45" s="17">
        <f t="shared" si="2"/>
        <v>0</v>
      </c>
      <c r="K45" s="26" t="s">
        <v>226</v>
      </c>
      <c r="L45" s="17">
        <f t="shared" si="3"/>
        <v>0</v>
      </c>
      <c r="W45" s="17">
        <f t="shared" si="4"/>
        <v>0</v>
      </c>
      <c r="X45" s="17">
        <f t="shared" si="5"/>
        <v>0</v>
      </c>
      <c r="Y45" s="17">
        <f t="shared" si="6"/>
        <v>0</v>
      </c>
      <c r="AA45" s="29">
        <v>21</v>
      </c>
      <c r="AB45" s="29">
        <f>G45*1</f>
        <v>0</v>
      </c>
      <c r="AC45" s="29">
        <f>G45*(1-1)</f>
        <v>0</v>
      </c>
      <c r="AJ45" s="29">
        <f t="shared" si="7"/>
        <v>0</v>
      </c>
      <c r="AK45" s="29">
        <f t="shared" si="8"/>
        <v>0</v>
      </c>
      <c r="AL45" s="30" t="s">
        <v>245</v>
      </c>
      <c r="AM45" s="30" t="s">
        <v>253</v>
      </c>
      <c r="AN45" s="24" t="s">
        <v>255</v>
      </c>
    </row>
    <row r="46" spans="1:40" ht="12.75">
      <c r="A46" s="6" t="s">
        <v>31</v>
      </c>
      <c r="B46" s="6"/>
      <c r="C46" s="6" t="s">
        <v>93</v>
      </c>
      <c r="D46" s="6" t="s">
        <v>166</v>
      </c>
      <c r="E46" s="6" t="s">
        <v>211</v>
      </c>
      <c r="F46" s="17">
        <v>1</v>
      </c>
      <c r="G46" s="17"/>
      <c r="H46" s="17">
        <f t="shared" si="0"/>
        <v>0</v>
      </c>
      <c r="I46" s="17">
        <f t="shared" si="1"/>
        <v>0</v>
      </c>
      <c r="J46" s="17">
        <f t="shared" si="2"/>
        <v>0</v>
      </c>
      <c r="K46" s="26" t="s">
        <v>226</v>
      </c>
      <c r="L46" s="17">
        <f t="shared" si="3"/>
        <v>0</v>
      </c>
      <c r="W46" s="17">
        <f t="shared" si="4"/>
        <v>0</v>
      </c>
      <c r="X46" s="17">
        <f t="shared" si="5"/>
        <v>0</v>
      </c>
      <c r="Y46" s="17">
        <f t="shared" si="6"/>
        <v>0</v>
      </c>
      <c r="AA46" s="29">
        <v>21</v>
      </c>
      <c r="AB46" s="29">
        <f>G46*1</f>
        <v>0</v>
      </c>
      <c r="AC46" s="29">
        <f>G46*(1-1)</f>
        <v>0</v>
      </c>
      <c r="AJ46" s="29">
        <f t="shared" si="7"/>
        <v>0</v>
      </c>
      <c r="AK46" s="29">
        <f t="shared" si="8"/>
        <v>0</v>
      </c>
      <c r="AL46" s="30" t="s">
        <v>245</v>
      </c>
      <c r="AM46" s="30" t="s">
        <v>253</v>
      </c>
      <c r="AN46" s="24" t="s">
        <v>255</v>
      </c>
    </row>
    <row r="47" spans="1:40" ht="12.75">
      <c r="A47" s="6" t="s">
        <v>32</v>
      </c>
      <c r="B47" s="6"/>
      <c r="C47" s="6" t="s">
        <v>94</v>
      </c>
      <c r="D47" s="6" t="s">
        <v>167</v>
      </c>
      <c r="E47" s="6" t="s">
        <v>211</v>
      </c>
      <c r="F47" s="17">
        <v>42</v>
      </c>
      <c r="G47" s="17"/>
      <c r="H47" s="17">
        <f t="shared" si="0"/>
        <v>0</v>
      </c>
      <c r="I47" s="17">
        <f t="shared" si="1"/>
        <v>0</v>
      </c>
      <c r="J47" s="17">
        <f t="shared" si="2"/>
        <v>0</v>
      </c>
      <c r="K47" s="26" t="s">
        <v>226</v>
      </c>
      <c r="L47" s="17">
        <f t="shared" si="3"/>
        <v>0</v>
      </c>
      <c r="W47" s="17">
        <f t="shared" si="4"/>
        <v>0</v>
      </c>
      <c r="X47" s="17">
        <f t="shared" si="5"/>
        <v>0</v>
      </c>
      <c r="Y47" s="17">
        <f t="shared" si="6"/>
        <v>0</v>
      </c>
      <c r="AA47" s="29">
        <v>21</v>
      </c>
      <c r="AB47" s="29">
        <f>G47*1</f>
        <v>0</v>
      </c>
      <c r="AC47" s="29">
        <f>G47*(1-1)</f>
        <v>0</v>
      </c>
      <c r="AJ47" s="29">
        <f t="shared" si="7"/>
        <v>0</v>
      </c>
      <c r="AK47" s="29">
        <f t="shared" si="8"/>
        <v>0</v>
      </c>
      <c r="AL47" s="30" t="s">
        <v>245</v>
      </c>
      <c r="AM47" s="30" t="s">
        <v>253</v>
      </c>
      <c r="AN47" s="24" t="s">
        <v>255</v>
      </c>
    </row>
    <row r="48" spans="1:40" ht="12.75">
      <c r="A48" s="4" t="s">
        <v>33</v>
      </c>
      <c r="B48" s="4"/>
      <c r="C48" s="4" t="s">
        <v>95</v>
      </c>
      <c r="D48" s="4" t="s">
        <v>168</v>
      </c>
      <c r="E48" s="4" t="s">
        <v>211</v>
      </c>
      <c r="F48" s="16">
        <v>18</v>
      </c>
      <c r="G48" s="16"/>
      <c r="H48" s="16">
        <f t="shared" si="0"/>
        <v>0</v>
      </c>
      <c r="I48" s="16">
        <f t="shared" si="1"/>
        <v>0</v>
      </c>
      <c r="J48" s="16">
        <f t="shared" si="2"/>
        <v>0</v>
      </c>
      <c r="K48" s="25" t="s">
        <v>6</v>
      </c>
      <c r="L48" s="16">
        <f t="shared" si="3"/>
        <v>0</v>
      </c>
      <c r="W48" s="16">
        <f t="shared" si="4"/>
        <v>0</v>
      </c>
      <c r="X48" s="16">
        <f t="shared" si="5"/>
        <v>0</v>
      </c>
      <c r="Y48" s="16">
        <f t="shared" si="6"/>
        <v>0</v>
      </c>
      <c r="AA48" s="29">
        <v>21</v>
      </c>
      <c r="AB48" s="29">
        <f>G48*0.959408695652174</f>
        <v>0</v>
      </c>
      <c r="AC48" s="29">
        <f>G48*(1-0.959408695652174)</f>
        <v>0</v>
      </c>
      <c r="AJ48" s="29">
        <f t="shared" si="7"/>
        <v>0</v>
      </c>
      <c r="AK48" s="29">
        <f t="shared" si="8"/>
        <v>0</v>
      </c>
      <c r="AL48" s="30" t="s">
        <v>245</v>
      </c>
      <c r="AM48" s="30" t="s">
        <v>253</v>
      </c>
      <c r="AN48" s="24" t="s">
        <v>255</v>
      </c>
    </row>
    <row r="49" spans="1:40" ht="12.75">
      <c r="A49" s="4" t="s">
        <v>34</v>
      </c>
      <c r="B49" s="4"/>
      <c r="C49" s="4" t="s">
        <v>96</v>
      </c>
      <c r="D49" s="4" t="s">
        <v>169</v>
      </c>
      <c r="E49" s="4" t="s">
        <v>211</v>
      </c>
      <c r="F49" s="16">
        <v>14</v>
      </c>
      <c r="G49" s="16"/>
      <c r="H49" s="16">
        <f t="shared" si="0"/>
        <v>0</v>
      </c>
      <c r="I49" s="16">
        <f t="shared" si="1"/>
        <v>0</v>
      </c>
      <c r="J49" s="16">
        <f t="shared" si="2"/>
        <v>0</v>
      </c>
      <c r="K49" s="25" t="s">
        <v>6</v>
      </c>
      <c r="L49" s="16">
        <f t="shared" si="3"/>
        <v>0</v>
      </c>
      <c r="W49" s="16">
        <f t="shared" si="4"/>
        <v>0</v>
      </c>
      <c r="X49" s="16">
        <f t="shared" si="5"/>
        <v>0</v>
      </c>
      <c r="Y49" s="16">
        <f t="shared" si="6"/>
        <v>0</v>
      </c>
      <c r="AA49" s="29">
        <v>21</v>
      </c>
      <c r="AB49" s="29">
        <f>G49*0.962004651162791</f>
        <v>0</v>
      </c>
      <c r="AC49" s="29">
        <f>G49*(1-0.962004651162791)</f>
        <v>0</v>
      </c>
      <c r="AJ49" s="29">
        <f t="shared" si="7"/>
        <v>0</v>
      </c>
      <c r="AK49" s="29">
        <f t="shared" si="8"/>
        <v>0</v>
      </c>
      <c r="AL49" s="30" t="s">
        <v>245</v>
      </c>
      <c r="AM49" s="30" t="s">
        <v>253</v>
      </c>
      <c r="AN49" s="24" t="s">
        <v>255</v>
      </c>
    </row>
    <row r="50" spans="1:34" ht="12.75">
      <c r="A50" s="5"/>
      <c r="B50" s="13"/>
      <c r="C50" s="13" t="s">
        <v>97</v>
      </c>
      <c r="D50" s="89" t="s">
        <v>170</v>
      </c>
      <c r="E50" s="90"/>
      <c r="F50" s="90"/>
      <c r="G50" s="90"/>
      <c r="H50" s="32">
        <f>SUM(H51:H60)</f>
        <v>0</v>
      </c>
      <c r="I50" s="32">
        <f>SUM(I51:I60)</f>
        <v>0</v>
      </c>
      <c r="J50" s="32">
        <f>H50+I50</f>
        <v>0</v>
      </c>
      <c r="M50" s="32">
        <f>IF(N50="PR",J50,SUM(L51:L60))</f>
        <v>0</v>
      </c>
      <c r="N50" s="24" t="s">
        <v>229</v>
      </c>
      <c r="O50" s="32">
        <f>IF(N50="HS",H50,0)</f>
        <v>0</v>
      </c>
      <c r="P50" s="32">
        <f>IF(N50="HS",I50-M50,0)</f>
        <v>0</v>
      </c>
      <c r="Q50" s="32">
        <f>IF(N50="PS",H50,0)</f>
        <v>0</v>
      </c>
      <c r="R50" s="32">
        <f>IF(N50="PS",I50-M50,0)</f>
        <v>0</v>
      </c>
      <c r="S50" s="32">
        <f>IF(N50="MP",H50,0)</f>
        <v>0</v>
      </c>
      <c r="T50" s="32">
        <f>IF(N50="MP",I50-M50,0)</f>
        <v>0</v>
      </c>
      <c r="U50" s="32">
        <f>IF(N50="OM",H50,0)</f>
        <v>0</v>
      </c>
      <c r="V50" s="24"/>
      <c r="AF50" s="32">
        <f>SUM(W51:W60)</f>
        <v>0</v>
      </c>
      <c r="AG50" s="32">
        <f>SUM(X51:X60)</f>
        <v>0</v>
      </c>
      <c r="AH50" s="32">
        <f>SUM(Y51:Y60)</f>
        <v>0</v>
      </c>
    </row>
    <row r="51" spans="1:40" ht="12.75">
      <c r="A51" s="4" t="s">
        <v>35</v>
      </c>
      <c r="B51" s="4"/>
      <c r="C51" s="4" t="s">
        <v>98</v>
      </c>
      <c r="D51" s="4" t="s">
        <v>171</v>
      </c>
      <c r="E51" s="4" t="s">
        <v>212</v>
      </c>
      <c r="F51" s="16">
        <v>3.8</v>
      </c>
      <c r="G51" s="16"/>
      <c r="H51" s="16">
        <f aca="true" t="shared" si="9" ref="H51:H60">F51*AB51</f>
        <v>0</v>
      </c>
      <c r="I51" s="16">
        <f aca="true" t="shared" si="10" ref="I51:I60">J51-H51</f>
        <v>0</v>
      </c>
      <c r="J51" s="16">
        <f aca="true" t="shared" si="11" ref="J51:J60">F51*G51</f>
        <v>0</v>
      </c>
      <c r="K51" s="25" t="s">
        <v>10</v>
      </c>
      <c r="L51" s="16">
        <f aca="true" t="shared" si="12" ref="L51:L60">IF(K51="5",I51,0)</f>
        <v>0</v>
      </c>
      <c r="W51" s="16">
        <f aca="true" t="shared" si="13" ref="W51:W60">IF(AA51=0,J51,0)</f>
        <v>0</v>
      </c>
      <c r="X51" s="16">
        <f aca="true" t="shared" si="14" ref="X51:X60">IF(AA51=15,J51,0)</f>
        <v>0</v>
      </c>
      <c r="Y51" s="16">
        <f aca="true" t="shared" si="15" ref="Y51:Y60">IF(AA51=21,J51,0)</f>
        <v>0</v>
      </c>
      <c r="AA51" s="29">
        <v>21</v>
      </c>
      <c r="AB51" s="29">
        <f>G51*0</f>
        <v>0</v>
      </c>
      <c r="AC51" s="29">
        <f>G51*(1-0)</f>
        <v>0</v>
      </c>
      <c r="AJ51" s="29">
        <f aca="true" t="shared" si="16" ref="AJ51:AJ60">F51*AB51</f>
        <v>0</v>
      </c>
      <c r="AK51" s="29">
        <f aca="true" t="shared" si="17" ref="AK51:AK60">F51*AC51</f>
        <v>0</v>
      </c>
      <c r="AL51" s="30" t="s">
        <v>246</v>
      </c>
      <c r="AM51" s="30" t="s">
        <v>253</v>
      </c>
      <c r="AN51" s="24" t="s">
        <v>255</v>
      </c>
    </row>
    <row r="52" spans="1:40" ht="12.75">
      <c r="A52" s="4" t="s">
        <v>36</v>
      </c>
      <c r="B52" s="4"/>
      <c r="C52" s="4" t="s">
        <v>99</v>
      </c>
      <c r="D52" s="4" t="s">
        <v>172</v>
      </c>
      <c r="E52" s="4" t="s">
        <v>211</v>
      </c>
      <c r="F52" s="16">
        <v>6</v>
      </c>
      <c r="G52" s="16"/>
      <c r="H52" s="16">
        <f t="shared" si="9"/>
        <v>0</v>
      </c>
      <c r="I52" s="16">
        <f t="shared" si="10"/>
        <v>0</v>
      </c>
      <c r="J52" s="16">
        <f t="shared" si="11"/>
        <v>0</v>
      </c>
      <c r="K52" s="25" t="s">
        <v>6</v>
      </c>
      <c r="L52" s="16">
        <f t="shared" si="12"/>
        <v>0</v>
      </c>
      <c r="W52" s="16">
        <f t="shared" si="13"/>
        <v>0</v>
      </c>
      <c r="X52" s="16">
        <f t="shared" si="14"/>
        <v>0</v>
      </c>
      <c r="Y52" s="16">
        <f t="shared" si="15"/>
        <v>0</v>
      </c>
      <c r="AA52" s="29">
        <v>21</v>
      </c>
      <c r="AB52" s="29">
        <f>G52*0.83239606741573</f>
        <v>0</v>
      </c>
      <c r="AC52" s="29">
        <f>G52*(1-0.83239606741573)</f>
        <v>0</v>
      </c>
      <c r="AJ52" s="29">
        <f t="shared" si="16"/>
        <v>0</v>
      </c>
      <c r="AK52" s="29">
        <f t="shared" si="17"/>
        <v>0</v>
      </c>
      <c r="AL52" s="30" t="s">
        <v>246</v>
      </c>
      <c r="AM52" s="30" t="s">
        <v>253</v>
      </c>
      <c r="AN52" s="24" t="s">
        <v>255</v>
      </c>
    </row>
    <row r="53" spans="1:40" ht="12.75">
      <c r="A53" s="4" t="s">
        <v>37</v>
      </c>
      <c r="B53" s="4"/>
      <c r="C53" s="4" t="s">
        <v>100</v>
      </c>
      <c r="D53" s="4" t="s">
        <v>173</v>
      </c>
      <c r="E53" s="4" t="s">
        <v>213</v>
      </c>
      <c r="F53" s="16">
        <v>6</v>
      </c>
      <c r="G53" s="16"/>
      <c r="H53" s="16">
        <f t="shared" si="9"/>
        <v>0</v>
      </c>
      <c r="I53" s="16">
        <f t="shared" si="10"/>
        <v>0</v>
      </c>
      <c r="J53" s="16">
        <f t="shared" si="11"/>
        <v>0</v>
      </c>
      <c r="K53" s="25" t="s">
        <v>6</v>
      </c>
      <c r="L53" s="16">
        <f t="shared" si="12"/>
        <v>0</v>
      </c>
      <c r="W53" s="16">
        <f t="shared" si="13"/>
        <v>0</v>
      </c>
      <c r="X53" s="16">
        <f t="shared" si="14"/>
        <v>0</v>
      </c>
      <c r="Y53" s="16">
        <f t="shared" si="15"/>
        <v>0</v>
      </c>
      <c r="AA53" s="29">
        <v>21</v>
      </c>
      <c r="AB53" s="29">
        <f>G53*0.165945165945166</f>
        <v>0</v>
      </c>
      <c r="AC53" s="29">
        <f>G53*(1-0.165945165945166)</f>
        <v>0</v>
      </c>
      <c r="AJ53" s="29">
        <f t="shared" si="16"/>
        <v>0</v>
      </c>
      <c r="AK53" s="29">
        <f t="shared" si="17"/>
        <v>0</v>
      </c>
      <c r="AL53" s="30" t="s">
        <v>246</v>
      </c>
      <c r="AM53" s="30" t="s">
        <v>253</v>
      </c>
      <c r="AN53" s="24" t="s">
        <v>255</v>
      </c>
    </row>
    <row r="54" spans="1:40" ht="12.75">
      <c r="A54" s="4" t="s">
        <v>38</v>
      </c>
      <c r="B54" s="4"/>
      <c r="C54" s="4" t="s">
        <v>101</v>
      </c>
      <c r="D54" s="4" t="s">
        <v>174</v>
      </c>
      <c r="E54" s="4" t="s">
        <v>211</v>
      </c>
      <c r="F54" s="16">
        <v>6</v>
      </c>
      <c r="G54" s="16"/>
      <c r="H54" s="16">
        <f t="shared" si="9"/>
        <v>0</v>
      </c>
      <c r="I54" s="16">
        <f t="shared" si="10"/>
        <v>0</v>
      </c>
      <c r="J54" s="16">
        <f t="shared" si="11"/>
        <v>0</v>
      </c>
      <c r="K54" s="25" t="s">
        <v>6</v>
      </c>
      <c r="L54" s="16">
        <f t="shared" si="12"/>
        <v>0</v>
      </c>
      <c r="W54" s="16">
        <f t="shared" si="13"/>
        <v>0</v>
      </c>
      <c r="X54" s="16">
        <f t="shared" si="14"/>
        <v>0</v>
      </c>
      <c r="Y54" s="16">
        <f t="shared" si="15"/>
        <v>0</v>
      </c>
      <c r="AA54" s="29">
        <v>21</v>
      </c>
      <c r="AB54" s="29">
        <f>G54*0.303786052012648</f>
        <v>0</v>
      </c>
      <c r="AC54" s="29">
        <f>G54*(1-0.303786052012648)</f>
        <v>0</v>
      </c>
      <c r="AJ54" s="29">
        <f t="shared" si="16"/>
        <v>0</v>
      </c>
      <c r="AK54" s="29">
        <f t="shared" si="17"/>
        <v>0</v>
      </c>
      <c r="AL54" s="30" t="s">
        <v>246</v>
      </c>
      <c r="AM54" s="30" t="s">
        <v>253</v>
      </c>
      <c r="AN54" s="24" t="s">
        <v>255</v>
      </c>
    </row>
    <row r="55" spans="1:40" ht="12.75">
      <c r="A55" s="6" t="s">
        <v>39</v>
      </c>
      <c r="B55" s="6"/>
      <c r="C55" s="6" t="s">
        <v>102</v>
      </c>
      <c r="D55" s="6" t="s">
        <v>175</v>
      </c>
      <c r="E55" s="6" t="s">
        <v>211</v>
      </c>
      <c r="F55" s="17">
        <v>3</v>
      </c>
      <c r="G55" s="17"/>
      <c r="H55" s="17">
        <f t="shared" si="9"/>
        <v>0</v>
      </c>
      <c r="I55" s="17">
        <f t="shared" si="10"/>
        <v>0</v>
      </c>
      <c r="J55" s="17">
        <f t="shared" si="11"/>
        <v>0</v>
      </c>
      <c r="K55" s="26" t="s">
        <v>226</v>
      </c>
      <c r="L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  <c r="AA55" s="29">
        <v>21</v>
      </c>
      <c r="AB55" s="29">
        <f aca="true" t="shared" si="18" ref="AB55:AB60">G55*1</f>
        <v>0</v>
      </c>
      <c r="AC55" s="29">
        <f aca="true" t="shared" si="19" ref="AC55:AC60">G55*(1-1)</f>
        <v>0</v>
      </c>
      <c r="AJ55" s="29">
        <f t="shared" si="16"/>
        <v>0</v>
      </c>
      <c r="AK55" s="29">
        <f t="shared" si="17"/>
        <v>0</v>
      </c>
      <c r="AL55" s="30" t="s">
        <v>246</v>
      </c>
      <c r="AM55" s="30" t="s">
        <v>253</v>
      </c>
      <c r="AN55" s="24" t="s">
        <v>255</v>
      </c>
    </row>
    <row r="56" spans="1:40" ht="12.75">
      <c r="A56" s="6" t="s">
        <v>40</v>
      </c>
      <c r="B56" s="6"/>
      <c r="C56" s="6" t="s">
        <v>103</v>
      </c>
      <c r="D56" s="6" t="s">
        <v>176</v>
      </c>
      <c r="E56" s="6" t="s">
        <v>211</v>
      </c>
      <c r="F56" s="17">
        <v>2</v>
      </c>
      <c r="G56" s="17"/>
      <c r="H56" s="17">
        <f t="shared" si="9"/>
        <v>0</v>
      </c>
      <c r="I56" s="17">
        <f t="shared" si="10"/>
        <v>0</v>
      </c>
      <c r="J56" s="17">
        <f t="shared" si="11"/>
        <v>0</v>
      </c>
      <c r="K56" s="26" t="s">
        <v>226</v>
      </c>
      <c r="L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  <c r="AA56" s="29">
        <v>21</v>
      </c>
      <c r="AB56" s="29">
        <f t="shared" si="18"/>
        <v>0</v>
      </c>
      <c r="AC56" s="29">
        <f t="shared" si="19"/>
        <v>0</v>
      </c>
      <c r="AJ56" s="29">
        <f t="shared" si="16"/>
        <v>0</v>
      </c>
      <c r="AK56" s="29">
        <f t="shared" si="17"/>
        <v>0</v>
      </c>
      <c r="AL56" s="30" t="s">
        <v>246</v>
      </c>
      <c r="AM56" s="30" t="s">
        <v>253</v>
      </c>
      <c r="AN56" s="24" t="s">
        <v>255</v>
      </c>
    </row>
    <row r="57" spans="1:40" ht="12.75">
      <c r="A57" s="6" t="s">
        <v>41</v>
      </c>
      <c r="B57" s="6"/>
      <c r="C57" s="6" t="s">
        <v>104</v>
      </c>
      <c r="D57" s="6" t="s">
        <v>177</v>
      </c>
      <c r="E57" s="6" t="s">
        <v>211</v>
      </c>
      <c r="F57" s="17">
        <v>1</v>
      </c>
      <c r="G57" s="17"/>
      <c r="H57" s="17">
        <f t="shared" si="9"/>
        <v>0</v>
      </c>
      <c r="I57" s="17">
        <f t="shared" si="10"/>
        <v>0</v>
      </c>
      <c r="J57" s="17">
        <f t="shared" si="11"/>
        <v>0</v>
      </c>
      <c r="K57" s="26" t="s">
        <v>226</v>
      </c>
      <c r="L57" s="17">
        <f t="shared" si="12"/>
        <v>0</v>
      </c>
      <c r="W57" s="17">
        <f t="shared" si="13"/>
        <v>0</v>
      </c>
      <c r="X57" s="17">
        <f t="shared" si="14"/>
        <v>0</v>
      </c>
      <c r="Y57" s="17">
        <f t="shared" si="15"/>
        <v>0</v>
      </c>
      <c r="AA57" s="29">
        <v>21</v>
      </c>
      <c r="AB57" s="29">
        <f t="shared" si="18"/>
        <v>0</v>
      </c>
      <c r="AC57" s="29">
        <f t="shared" si="19"/>
        <v>0</v>
      </c>
      <c r="AJ57" s="29">
        <f t="shared" si="16"/>
        <v>0</v>
      </c>
      <c r="AK57" s="29">
        <f t="shared" si="17"/>
        <v>0</v>
      </c>
      <c r="AL57" s="30" t="s">
        <v>246</v>
      </c>
      <c r="AM57" s="30" t="s">
        <v>253</v>
      </c>
      <c r="AN57" s="24" t="s">
        <v>255</v>
      </c>
    </row>
    <row r="58" spans="1:40" ht="12.75">
      <c r="A58" s="6" t="s">
        <v>42</v>
      </c>
      <c r="B58" s="6"/>
      <c r="C58" s="6" t="s">
        <v>105</v>
      </c>
      <c r="D58" s="6" t="s">
        <v>178</v>
      </c>
      <c r="E58" s="6" t="s">
        <v>211</v>
      </c>
      <c r="F58" s="17">
        <v>2</v>
      </c>
      <c r="G58" s="17"/>
      <c r="H58" s="17">
        <f t="shared" si="9"/>
        <v>0</v>
      </c>
      <c r="I58" s="17">
        <f t="shared" si="10"/>
        <v>0</v>
      </c>
      <c r="J58" s="17">
        <f t="shared" si="11"/>
        <v>0</v>
      </c>
      <c r="K58" s="26" t="s">
        <v>226</v>
      </c>
      <c r="L58" s="17">
        <f t="shared" si="12"/>
        <v>0</v>
      </c>
      <c r="W58" s="17">
        <f t="shared" si="13"/>
        <v>0</v>
      </c>
      <c r="X58" s="17">
        <f t="shared" si="14"/>
        <v>0</v>
      </c>
      <c r="Y58" s="17">
        <f t="shared" si="15"/>
        <v>0</v>
      </c>
      <c r="AA58" s="29">
        <v>21</v>
      </c>
      <c r="AB58" s="29">
        <f t="shared" si="18"/>
        <v>0</v>
      </c>
      <c r="AC58" s="29">
        <f t="shared" si="19"/>
        <v>0</v>
      </c>
      <c r="AJ58" s="29">
        <f t="shared" si="16"/>
        <v>0</v>
      </c>
      <c r="AK58" s="29">
        <f t="shared" si="17"/>
        <v>0</v>
      </c>
      <c r="AL58" s="30" t="s">
        <v>246</v>
      </c>
      <c r="AM58" s="30" t="s">
        <v>253</v>
      </c>
      <c r="AN58" s="24" t="s">
        <v>255</v>
      </c>
    </row>
    <row r="59" spans="1:40" ht="12.75">
      <c r="A59" s="6" t="s">
        <v>43</v>
      </c>
      <c r="B59" s="6"/>
      <c r="C59" s="6" t="s">
        <v>106</v>
      </c>
      <c r="D59" s="6" t="s">
        <v>179</v>
      </c>
      <c r="E59" s="6" t="s">
        <v>211</v>
      </c>
      <c r="F59" s="17">
        <v>2</v>
      </c>
      <c r="G59" s="17"/>
      <c r="H59" s="17">
        <f t="shared" si="9"/>
        <v>0</v>
      </c>
      <c r="I59" s="17">
        <f t="shared" si="10"/>
        <v>0</v>
      </c>
      <c r="J59" s="17">
        <f t="shared" si="11"/>
        <v>0</v>
      </c>
      <c r="K59" s="26" t="s">
        <v>226</v>
      </c>
      <c r="L59" s="17">
        <f t="shared" si="12"/>
        <v>0</v>
      </c>
      <c r="W59" s="17">
        <f t="shared" si="13"/>
        <v>0</v>
      </c>
      <c r="X59" s="17">
        <f t="shared" si="14"/>
        <v>0</v>
      </c>
      <c r="Y59" s="17">
        <f t="shared" si="15"/>
        <v>0</v>
      </c>
      <c r="AA59" s="29">
        <v>21</v>
      </c>
      <c r="AB59" s="29">
        <f t="shared" si="18"/>
        <v>0</v>
      </c>
      <c r="AC59" s="29">
        <f t="shared" si="19"/>
        <v>0</v>
      </c>
      <c r="AJ59" s="29">
        <f t="shared" si="16"/>
        <v>0</v>
      </c>
      <c r="AK59" s="29">
        <f t="shared" si="17"/>
        <v>0</v>
      </c>
      <c r="AL59" s="30" t="s">
        <v>246</v>
      </c>
      <c r="AM59" s="30" t="s">
        <v>253</v>
      </c>
      <c r="AN59" s="24" t="s">
        <v>255</v>
      </c>
    </row>
    <row r="60" spans="1:40" ht="12.75">
      <c r="A60" s="6" t="s">
        <v>44</v>
      </c>
      <c r="B60" s="6"/>
      <c r="C60" s="6" t="s">
        <v>107</v>
      </c>
      <c r="D60" s="6" t="s">
        <v>180</v>
      </c>
      <c r="E60" s="6" t="s">
        <v>211</v>
      </c>
      <c r="F60" s="17">
        <v>4</v>
      </c>
      <c r="G60" s="17"/>
      <c r="H60" s="17">
        <f t="shared" si="9"/>
        <v>0</v>
      </c>
      <c r="I60" s="17">
        <f t="shared" si="10"/>
        <v>0</v>
      </c>
      <c r="J60" s="17">
        <f t="shared" si="11"/>
        <v>0</v>
      </c>
      <c r="K60" s="26" t="s">
        <v>226</v>
      </c>
      <c r="L60" s="17">
        <f t="shared" si="12"/>
        <v>0</v>
      </c>
      <c r="W60" s="17">
        <f t="shared" si="13"/>
        <v>0</v>
      </c>
      <c r="X60" s="17">
        <f t="shared" si="14"/>
        <v>0</v>
      </c>
      <c r="Y60" s="17">
        <f t="shared" si="15"/>
        <v>0</v>
      </c>
      <c r="AA60" s="29">
        <v>21</v>
      </c>
      <c r="AB60" s="29">
        <f t="shared" si="18"/>
        <v>0</v>
      </c>
      <c r="AC60" s="29">
        <f t="shared" si="19"/>
        <v>0</v>
      </c>
      <c r="AJ60" s="29">
        <f t="shared" si="16"/>
        <v>0</v>
      </c>
      <c r="AK60" s="29">
        <f t="shared" si="17"/>
        <v>0</v>
      </c>
      <c r="AL60" s="30" t="s">
        <v>246</v>
      </c>
      <c r="AM60" s="30" t="s">
        <v>253</v>
      </c>
      <c r="AN60" s="24" t="s">
        <v>255</v>
      </c>
    </row>
    <row r="61" spans="1:34" ht="12.75">
      <c r="A61" s="5"/>
      <c r="B61" s="13"/>
      <c r="C61" s="13" t="s">
        <v>108</v>
      </c>
      <c r="D61" s="89" t="s">
        <v>181</v>
      </c>
      <c r="E61" s="90"/>
      <c r="F61" s="90"/>
      <c r="G61" s="90"/>
      <c r="H61" s="32">
        <f>SUM(H62:H62)</f>
        <v>0</v>
      </c>
      <c r="I61" s="32">
        <f>SUM(I62:I62)</f>
        <v>0</v>
      </c>
      <c r="J61" s="32">
        <f>H61+I61</f>
        <v>0</v>
      </c>
      <c r="M61" s="32">
        <f>IF(N61="PR",J61,SUM(L62:L62))</f>
        <v>0</v>
      </c>
      <c r="N61" s="24" t="s">
        <v>229</v>
      </c>
      <c r="O61" s="32">
        <f>IF(N61="HS",H61,0)</f>
        <v>0</v>
      </c>
      <c r="P61" s="32">
        <f>IF(N61="HS",I61-M61,0)</f>
        <v>0</v>
      </c>
      <c r="Q61" s="32">
        <f>IF(N61="PS",H61,0)</f>
        <v>0</v>
      </c>
      <c r="R61" s="32">
        <f>IF(N61="PS",I61-M61,0)</f>
        <v>0</v>
      </c>
      <c r="S61" s="32">
        <f>IF(N61="MP",H61,0)</f>
        <v>0</v>
      </c>
      <c r="T61" s="32">
        <f>IF(N61="MP",I61-M61,0)</f>
        <v>0</v>
      </c>
      <c r="U61" s="32">
        <f>IF(N61="OM",H61,0)</f>
        <v>0</v>
      </c>
      <c r="V61" s="24"/>
      <c r="AF61" s="32">
        <f>SUM(W62:W62)</f>
        <v>0</v>
      </c>
      <c r="AG61" s="32">
        <f>SUM(X62:X62)</f>
        <v>0</v>
      </c>
      <c r="AH61" s="32">
        <f>SUM(Y62:Y62)</f>
        <v>0</v>
      </c>
    </row>
    <row r="62" spans="1:40" ht="12.75">
      <c r="A62" s="4" t="s">
        <v>45</v>
      </c>
      <c r="B62" s="4"/>
      <c r="C62" s="4" t="s">
        <v>109</v>
      </c>
      <c r="D62" s="4" t="s">
        <v>182</v>
      </c>
      <c r="E62" s="4" t="s">
        <v>210</v>
      </c>
      <c r="F62" s="16">
        <v>218.55</v>
      </c>
      <c r="G62" s="16"/>
      <c r="H62" s="16">
        <f>F62*AB62</f>
        <v>0</v>
      </c>
      <c r="I62" s="16">
        <f>J62-H62</f>
        <v>0</v>
      </c>
      <c r="J62" s="16">
        <f>F62*G62</f>
        <v>0</v>
      </c>
      <c r="K62" s="25" t="s">
        <v>6</v>
      </c>
      <c r="L62" s="16">
        <f>IF(K62="5",I62,0)</f>
        <v>0</v>
      </c>
      <c r="W62" s="16">
        <f>IF(AA62=0,J62,0)</f>
        <v>0</v>
      </c>
      <c r="X62" s="16">
        <f>IF(AA62=15,J62,0)</f>
        <v>0</v>
      </c>
      <c r="Y62" s="16">
        <f>IF(AA62=21,J62,0)</f>
        <v>0</v>
      </c>
      <c r="AA62" s="29">
        <v>21</v>
      </c>
      <c r="AB62" s="29">
        <f>G62*0.0831592143752612</f>
        <v>0</v>
      </c>
      <c r="AC62" s="29">
        <f>G62*(1-0.0831592143752612)</f>
        <v>0</v>
      </c>
      <c r="AJ62" s="29">
        <f>F62*AB62</f>
        <v>0</v>
      </c>
      <c r="AK62" s="29">
        <f>F62*AC62</f>
        <v>0</v>
      </c>
      <c r="AL62" s="30" t="s">
        <v>247</v>
      </c>
      <c r="AM62" s="30" t="s">
        <v>254</v>
      </c>
      <c r="AN62" s="24" t="s">
        <v>255</v>
      </c>
    </row>
    <row r="63" spans="1:34" ht="12.75">
      <c r="A63" s="5"/>
      <c r="B63" s="13"/>
      <c r="C63" s="13" t="s">
        <v>110</v>
      </c>
      <c r="D63" s="89" t="s">
        <v>183</v>
      </c>
      <c r="E63" s="90"/>
      <c r="F63" s="90"/>
      <c r="G63" s="90"/>
      <c r="H63" s="32">
        <f>SUM(H64:H69)</f>
        <v>0</v>
      </c>
      <c r="I63" s="32">
        <f>SUM(I64:I69)</f>
        <v>0</v>
      </c>
      <c r="J63" s="32">
        <f>H63+I63</f>
        <v>0</v>
      </c>
      <c r="M63" s="32">
        <f>IF(N63="PR",J63,SUM(L64:L69))</f>
        <v>0</v>
      </c>
      <c r="N63" s="24" t="s">
        <v>229</v>
      </c>
      <c r="O63" s="32">
        <f>IF(N63="HS",H63,0)</f>
        <v>0</v>
      </c>
      <c r="P63" s="32">
        <f>IF(N63="HS",I63-M63,0)</f>
        <v>0</v>
      </c>
      <c r="Q63" s="32">
        <f>IF(N63="PS",H63,0)</f>
        <v>0</v>
      </c>
      <c r="R63" s="32">
        <f>IF(N63="PS",I63-M63,0)</f>
        <v>0</v>
      </c>
      <c r="S63" s="32">
        <f>IF(N63="MP",H63,0)</f>
        <v>0</v>
      </c>
      <c r="T63" s="32">
        <f>IF(N63="MP",I63-M63,0)</f>
        <v>0</v>
      </c>
      <c r="U63" s="32">
        <f>IF(N63="OM",H63,0)</f>
        <v>0</v>
      </c>
      <c r="V63" s="24"/>
      <c r="AF63" s="32">
        <f>SUM(W64:W69)</f>
        <v>0</v>
      </c>
      <c r="AG63" s="32">
        <f>SUM(X64:X69)</f>
        <v>0</v>
      </c>
      <c r="AH63" s="32">
        <f>SUM(Y64:Y69)</f>
        <v>0</v>
      </c>
    </row>
    <row r="64" spans="1:40" ht="12.75">
      <c r="A64" s="4" t="s">
        <v>46</v>
      </c>
      <c r="B64" s="4"/>
      <c r="C64" s="4" t="s">
        <v>111</v>
      </c>
      <c r="D64" s="4" t="s">
        <v>184</v>
      </c>
      <c r="E64" s="4" t="s">
        <v>212</v>
      </c>
      <c r="F64" s="16">
        <v>160.188</v>
      </c>
      <c r="G64" s="16"/>
      <c r="H64" s="16">
        <f aca="true" t="shared" si="20" ref="H64:H69">F64*AB64</f>
        <v>0</v>
      </c>
      <c r="I64" s="16">
        <f aca="true" t="shared" si="21" ref="I64:I69">J64-H64</f>
        <v>0</v>
      </c>
      <c r="J64" s="16">
        <f aca="true" t="shared" si="22" ref="J64:J69">F64*G64</f>
        <v>0</v>
      </c>
      <c r="K64" s="25" t="s">
        <v>10</v>
      </c>
      <c r="L64" s="16">
        <f aca="true" t="shared" si="23" ref="L64:L69">IF(K64="5",I64,0)</f>
        <v>0</v>
      </c>
      <c r="W64" s="16">
        <f aca="true" t="shared" si="24" ref="W64:W69">IF(AA64=0,J64,0)</f>
        <v>0</v>
      </c>
      <c r="X64" s="16">
        <f aca="true" t="shared" si="25" ref="X64:X69">IF(AA64=15,J64,0)</f>
        <v>0</v>
      </c>
      <c r="Y64" s="16">
        <f aca="true" t="shared" si="26" ref="Y64:Y69">IF(AA64=21,J64,0)</f>
        <v>0</v>
      </c>
      <c r="AA64" s="29">
        <v>21</v>
      </c>
      <c r="AB64" s="29">
        <f aca="true" t="shared" si="27" ref="AB64:AB69">G64*0</f>
        <v>0</v>
      </c>
      <c r="AC64" s="29">
        <f aca="true" t="shared" si="28" ref="AC64:AC69">G64*(1-0)</f>
        <v>0</v>
      </c>
      <c r="AJ64" s="29">
        <f aca="true" t="shared" si="29" ref="AJ64:AJ69">F64*AB64</f>
        <v>0</v>
      </c>
      <c r="AK64" s="29">
        <f aca="true" t="shared" si="30" ref="AK64:AK69">F64*AC64</f>
        <v>0</v>
      </c>
      <c r="AL64" s="30" t="s">
        <v>248</v>
      </c>
      <c r="AM64" s="30" t="s">
        <v>254</v>
      </c>
      <c r="AN64" s="24" t="s">
        <v>255</v>
      </c>
    </row>
    <row r="65" spans="1:40" ht="12.75">
      <c r="A65" s="4" t="s">
        <v>47</v>
      </c>
      <c r="B65" s="4"/>
      <c r="C65" s="4" t="s">
        <v>112</v>
      </c>
      <c r="D65" s="4" t="s">
        <v>185</v>
      </c>
      <c r="E65" s="4" t="s">
        <v>212</v>
      </c>
      <c r="F65" s="16">
        <v>480.56</v>
      </c>
      <c r="G65" s="16"/>
      <c r="H65" s="16">
        <f t="shared" si="20"/>
        <v>0</v>
      </c>
      <c r="I65" s="16">
        <f t="shared" si="21"/>
        <v>0</v>
      </c>
      <c r="J65" s="16">
        <f t="shared" si="22"/>
        <v>0</v>
      </c>
      <c r="K65" s="25" t="s">
        <v>10</v>
      </c>
      <c r="L65" s="16">
        <f t="shared" si="23"/>
        <v>0</v>
      </c>
      <c r="W65" s="16">
        <f t="shared" si="24"/>
        <v>0</v>
      </c>
      <c r="X65" s="16">
        <f t="shared" si="25"/>
        <v>0</v>
      </c>
      <c r="Y65" s="16">
        <f t="shared" si="26"/>
        <v>0</v>
      </c>
      <c r="AA65" s="29">
        <v>21</v>
      </c>
      <c r="AB65" s="29">
        <f t="shared" si="27"/>
        <v>0</v>
      </c>
      <c r="AC65" s="29">
        <f t="shared" si="28"/>
        <v>0</v>
      </c>
      <c r="AJ65" s="29">
        <f t="shared" si="29"/>
        <v>0</v>
      </c>
      <c r="AK65" s="29">
        <f t="shared" si="30"/>
        <v>0</v>
      </c>
      <c r="AL65" s="30" t="s">
        <v>248</v>
      </c>
      <c r="AM65" s="30" t="s">
        <v>254</v>
      </c>
      <c r="AN65" s="24" t="s">
        <v>255</v>
      </c>
    </row>
    <row r="66" spans="1:40" ht="12.75">
      <c r="A66" s="4" t="s">
        <v>48</v>
      </c>
      <c r="B66" s="4"/>
      <c r="C66" s="4" t="s">
        <v>113</v>
      </c>
      <c r="D66" s="4" t="s">
        <v>186</v>
      </c>
      <c r="E66" s="4" t="s">
        <v>212</v>
      </c>
      <c r="F66" s="16">
        <v>139.38</v>
      </c>
      <c r="G66" s="16"/>
      <c r="H66" s="16">
        <f t="shared" si="20"/>
        <v>0</v>
      </c>
      <c r="I66" s="16">
        <f t="shared" si="21"/>
        <v>0</v>
      </c>
      <c r="J66" s="16">
        <f t="shared" si="22"/>
        <v>0</v>
      </c>
      <c r="K66" s="25" t="s">
        <v>10</v>
      </c>
      <c r="L66" s="16">
        <f t="shared" si="23"/>
        <v>0</v>
      </c>
      <c r="W66" s="16">
        <f t="shared" si="24"/>
        <v>0</v>
      </c>
      <c r="X66" s="16">
        <f t="shared" si="25"/>
        <v>0</v>
      </c>
      <c r="Y66" s="16">
        <f t="shared" si="26"/>
        <v>0</v>
      </c>
      <c r="AA66" s="29">
        <v>21</v>
      </c>
      <c r="AB66" s="29">
        <f t="shared" si="27"/>
        <v>0</v>
      </c>
      <c r="AC66" s="29">
        <f t="shared" si="28"/>
        <v>0</v>
      </c>
      <c r="AJ66" s="29">
        <f t="shared" si="29"/>
        <v>0</v>
      </c>
      <c r="AK66" s="29">
        <f t="shared" si="30"/>
        <v>0</v>
      </c>
      <c r="AL66" s="30" t="s">
        <v>248</v>
      </c>
      <c r="AM66" s="30" t="s">
        <v>254</v>
      </c>
      <c r="AN66" s="24" t="s">
        <v>255</v>
      </c>
    </row>
    <row r="67" spans="1:40" ht="12.75">
      <c r="A67" s="4" t="s">
        <v>49</v>
      </c>
      <c r="B67" s="4"/>
      <c r="C67" s="4" t="s">
        <v>114</v>
      </c>
      <c r="D67" s="4" t="s">
        <v>187</v>
      </c>
      <c r="E67" s="4" t="s">
        <v>212</v>
      </c>
      <c r="F67" s="16">
        <v>418.14</v>
      </c>
      <c r="G67" s="16"/>
      <c r="H67" s="16">
        <f t="shared" si="20"/>
        <v>0</v>
      </c>
      <c r="I67" s="16">
        <f t="shared" si="21"/>
        <v>0</v>
      </c>
      <c r="J67" s="16">
        <f t="shared" si="22"/>
        <v>0</v>
      </c>
      <c r="K67" s="25" t="s">
        <v>10</v>
      </c>
      <c r="L67" s="16">
        <f t="shared" si="23"/>
        <v>0</v>
      </c>
      <c r="W67" s="16">
        <f t="shared" si="24"/>
        <v>0</v>
      </c>
      <c r="X67" s="16">
        <f t="shared" si="25"/>
        <v>0</v>
      </c>
      <c r="Y67" s="16">
        <f t="shared" si="26"/>
        <v>0</v>
      </c>
      <c r="AA67" s="29">
        <v>21</v>
      </c>
      <c r="AB67" s="29">
        <f t="shared" si="27"/>
        <v>0</v>
      </c>
      <c r="AC67" s="29">
        <f t="shared" si="28"/>
        <v>0</v>
      </c>
      <c r="AJ67" s="29">
        <f t="shared" si="29"/>
        <v>0</v>
      </c>
      <c r="AK67" s="29">
        <f t="shared" si="30"/>
        <v>0</v>
      </c>
      <c r="AL67" s="30" t="s">
        <v>248</v>
      </c>
      <c r="AM67" s="30" t="s">
        <v>254</v>
      </c>
      <c r="AN67" s="24" t="s">
        <v>255</v>
      </c>
    </row>
    <row r="68" spans="1:40" ht="12.75">
      <c r="A68" s="4" t="s">
        <v>50</v>
      </c>
      <c r="B68" s="4"/>
      <c r="C68" s="4" t="s">
        <v>115</v>
      </c>
      <c r="D68" s="4" t="s">
        <v>188</v>
      </c>
      <c r="E68" s="4" t="s">
        <v>212</v>
      </c>
      <c r="F68" s="16">
        <v>165.51</v>
      </c>
      <c r="G68" s="16"/>
      <c r="H68" s="16">
        <f t="shared" si="20"/>
        <v>0</v>
      </c>
      <c r="I68" s="16">
        <f t="shared" si="21"/>
        <v>0</v>
      </c>
      <c r="J68" s="16">
        <f t="shared" si="22"/>
        <v>0</v>
      </c>
      <c r="K68" s="25" t="s">
        <v>10</v>
      </c>
      <c r="L68" s="16">
        <f t="shared" si="23"/>
        <v>0</v>
      </c>
      <c r="W68" s="16">
        <f t="shared" si="24"/>
        <v>0</v>
      </c>
      <c r="X68" s="16">
        <f t="shared" si="25"/>
        <v>0</v>
      </c>
      <c r="Y68" s="16">
        <f t="shared" si="26"/>
        <v>0</v>
      </c>
      <c r="AA68" s="29">
        <v>21</v>
      </c>
      <c r="AB68" s="29">
        <f t="shared" si="27"/>
        <v>0</v>
      </c>
      <c r="AC68" s="29">
        <f t="shared" si="28"/>
        <v>0</v>
      </c>
      <c r="AJ68" s="29">
        <f t="shared" si="29"/>
        <v>0</v>
      </c>
      <c r="AK68" s="29">
        <f t="shared" si="30"/>
        <v>0</v>
      </c>
      <c r="AL68" s="30" t="s">
        <v>248</v>
      </c>
      <c r="AM68" s="30" t="s">
        <v>254</v>
      </c>
      <c r="AN68" s="24" t="s">
        <v>255</v>
      </c>
    </row>
    <row r="69" spans="1:40" ht="12.75">
      <c r="A69" s="4" t="s">
        <v>51</v>
      </c>
      <c r="B69" s="4"/>
      <c r="C69" s="4" t="s">
        <v>116</v>
      </c>
      <c r="D69" s="4" t="s">
        <v>189</v>
      </c>
      <c r="E69" s="4" t="s">
        <v>212</v>
      </c>
      <c r="F69" s="16">
        <v>496.53</v>
      </c>
      <c r="G69" s="16"/>
      <c r="H69" s="16">
        <f t="shared" si="20"/>
        <v>0</v>
      </c>
      <c r="I69" s="16">
        <f t="shared" si="21"/>
        <v>0</v>
      </c>
      <c r="J69" s="16">
        <f t="shared" si="22"/>
        <v>0</v>
      </c>
      <c r="K69" s="25" t="s">
        <v>10</v>
      </c>
      <c r="L69" s="16">
        <f t="shared" si="23"/>
        <v>0</v>
      </c>
      <c r="W69" s="16">
        <f t="shared" si="24"/>
        <v>0</v>
      </c>
      <c r="X69" s="16">
        <f t="shared" si="25"/>
        <v>0</v>
      </c>
      <c r="Y69" s="16">
        <f t="shared" si="26"/>
        <v>0</v>
      </c>
      <c r="AA69" s="29">
        <v>21</v>
      </c>
      <c r="AB69" s="29">
        <f t="shared" si="27"/>
        <v>0</v>
      </c>
      <c r="AC69" s="29">
        <f t="shared" si="28"/>
        <v>0</v>
      </c>
      <c r="AJ69" s="29">
        <f t="shared" si="29"/>
        <v>0</v>
      </c>
      <c r="AK69" s="29">
        <f t="shared" si="30"/>
        <v>0</v>
      </c>
      <c r="AL69" s="30" t="s">
        <v>248</v>
      </c>
      <c r="AM69" s="30" t="s">
        <v>254</v>
      </c>
      <c r="AN69" s="24" t="s">
        <v>255</v>
      </c>
    </row>
    <row r="70" spans="1:34" ht="12.75">
      <c r="A70" s="5"/>
      <c r="B70" s="13"/>
      <c r="C70" s="13" t="s">
        <v>117</v>
      </c>
      <c r="D70" s="89" t="s">
        <v>190</v>
      </c>
      <c r="E70" s="90"/>
      <c r="F70" s="90"/>
      <c r="G70" s="90"/>
      <c r="H70" s="32">
        <f>SUM(H71:H72)</f>
        <v>0</v>
      </c>
      <c r="I70" s="32">
        <f>SUM(I71:I72)</f>
        <v>0</v>
      </c>
      <c r="J70" s="32">
        <f>H70+I70</f>
        <v>0</v>
      </c>
      <c r="M70" s="32">
        <f>IF(N70="PR",J70,SUM(L71:L72))</f>
        <v>0</v>
      </c>
      <c r="N70" s="24" t="s">
        <v>229</v>
      </c>
      <c r="O70" s="32">
        <f>IF(N70="HS",H70,0)</f>
        <v>0</v>
      </c>
      <c r="P70" s="32">
        <f>IF(N70="HS",I70-M70,0)</f>
        <v>0</v>
      </c>
      <c r="Q70" s="32">
        <f>IF(N70="PS",H70,0)</f>
        <v>0</v>
      </c>
      <c r="R70" s="32">
        <f>IF(N70="PS",I70-M70,0)</f>
        <v>0</v>
      </c>
      <c r="S70" s="32">
        <f>IF(N70="MP",H70,0)</f>
        <v>0</v>
      </c>
      <c r="T70" s="32">
        <f>IF(N70="MP",I70-M70,0)</f>
        <v>0</v>
      </c>
      <c r="U70" s="32">
        <f>IF(N70="OM",H70,0)</f>
        <v>0</v>
      </c>
      <c r="V70" s="24"/>
      <c r="AF70" s="32">
        <f>SUM(W71:W72)</f>
        <v>0</v>
      </c>
      <c r="AG70" s="32">
        <f>SUM(X71:X72)</f>
        <v>0</v>
      </c>
      <c r="AH70" s="32">
        <f>SUM(Y71:Y72)</f>
        <v>0</v>
      </c>
    </row>
    <row r="71" spans="1:40" ht="12.75">
      <c r="A71" s="4" t="s">
        <v>52</v>
      </c>
      <c r="B71" s="4"/>
      <c r="C71" s="4" t="s">
        <v>118</v>
      </c>
      <c r="D71" s="4" t="s">
        <v>191</v>
      </c>
      <c r="E71" s="4" t="s">
        <v>212</v>
      </c>
      <c r="F71" s="16">
        <v>17.47</v>
      </c>
      <c r="G71" s="16"/>
      <c r="H71" s="16">
        <f>F71*AB71</f>
        <v>0</v>
      </c>
      <c r="I71" s="16">
        <f>J71-H71</f>
        <v>0</v>
      </c>
      <c r="J71" s="16">
        <f>F71*G71</f>
        <v>0</v>
      </c>
      <c r="K71" s="25" t="s">
        <v>10</v>
      </c>
      <c r="L71" s="16">
        <f>IF(K71="5",I71,0)</f>
        <v>0</v>
      </c>
      <c r="W71" s="16">
        <f>IF(AA71=0,J71,0)</f>
        <v>0</v>
      </c>
      <c r="X71" s="16">
        <f>IF(AA71=15,J71,0)</f>
        <v>0</v>
      </c>
      <c r="Y71" s="16">
        <f>IF(AA71=21,J71,0)</f>
        <v>0</v>
      </c>
      <c r="AA71" s="29">
        <v>21</v>
      </c>
      <c r="AB71" s="29">
        <f>G71*0</f>
        <v>0</v>
      </c>
      <c r="AC71" s="29">
        <f>G71*(1-0)</f>
        <v>0</v>
      </c>
      <c r="AJ71" s="29">
        <f>F71*AB71</f>
        <v>0</v>
      </c>
      <c r="AK71" s="29">
        <f>F71*AC71</f>
        <v>0</v>
      </c>
      <c r="AL71" s="30" t="s">
        <v>249</v>
      </c>
      <c r="AM71" s="30" t="s">
        <v>254</v>
      </c>
      <c r="AN71" s="24" t="s">
        <v>255</v>
      </c>
    </row>
    <row r="72" spans="1:40" ht="12.75">
      <c r="A72" s="4" t="s">
        <v>53</v>
      </c>
      <c r="B72" s="4"/>
      <c r="C72" s="4" t="s">
        <v>119</v>
      </c>
      <c r="D72" s="4" t="s">
        <v>192</v>
      </c>
      <c r="E72" s="4" t="s">
        <v>212</v>
      </c>
      <c r="F72" s="16">
        <v>34.94</v>
      </c>
      <c r="G72" s="16"/>
      <c r="H72" s="16">
        <f>F72*AB72</f>
        <v>0</v>
      </c>
      <c r="I72" s="16">
        <f>J72-H72</f>
        <v>0</v>
      </c>
      <c r="J72" s="16">
        <f>F72*G72</f>
        <v>0</v>
      </c>
      <c r="K72" s="25" t="s">
        <v>10</v>
      </c>
      <c r="L72" s="16">
        <f>IF(K72="5",I72,0)</f>
        <v>0</v>
      </c>
      <c r="W72" s="16">
        <f>IF(AA72=0,J72,0)</f>
        <v>0</v>
      </c>
      <c r="X72" s="16">
        <f>IF(AA72=15,J72,0)</f>
        <v>0</v>
      </c>
      <c r="Y72" s="16">
        <f>IF(AA72=21,J72,0)</f>
        <v>0</v>
      </c>
      <c r="AA72" s="29">
        <v>21</v>
      </c>
      <c r="AB72" s="29">
        <f>G72*0</f>
        <v>0</v>
      </c>
      <c r="AC72" s="29">
        <f>G72*(1-0)</f>
        <v>0</v>
      </c>
      <c r="AJ72" s="29">
        <f>F72*AB72</f>
        <v>0</v>
      </c>
      <c r="AK72" s="29">
        <f>F72*AC72</f>
        <v>0</v>
      </c>
      <c r="AL72" s="30" t="s">
        <v>249</v>
      </c>
      <c r="AM72" s="30" t="s">
        <v>254</v>
      </c>
      <c r="AN72" s="24" t="s">
        <v>255</v>
      </c>
    </row>
    <row r="73" spans="1:34" ht="12.75">
      <c r="A73" s="5"/>
      <c r="B73" s="13"/>
      <c r="C73" s="13" t="s">
        <v>120</v>
      </c>
      <c r="D73" s="89" t="s">
        <v>193</v>
      </c>
      <c r="E73" s="90"/>
      <c r="F73" s="90"/>
      <c r="G73" s="90"/>
      <c r="H73" s="32">
        <f>SUM(H74:H80)</f>
        <v>0</v>
      </c>
      <c r="I73" s="32">
        <f>SUM(I74:I80)</f>
        <v>0</v>
      </c>
      <c r="J73" s="32">
        <f>H73+I73</f>
        <v>0</v>
      </c>
      <c r="M73" s="32">
        <f>IF(N73="PR",J73,SUM(L74:L80))</f>
        <v>0</v>
      </c>
      <c r="N73" s="24" t="s">
        <v>229</v>
      </c>
      <c r="O73" s="32">
        <f>IF(N73="HS",H73,0)</f>
        <v>0</v>
      </c>
      <c r="P73" s="32">
        <f>IF(N73="HS",I73-M73,0)</f>
        <v>0</v>
      </c>
      <c r="Q73" s="32">
        <f>IF(N73="PS",H73,0)</f>
        <v>0</v>
      </c>
      <c r="R73" s="32">
        <f>IF(N73="PS",I73-M73,0)</f>
        <v>0</v>
      </c>
      <c r="S73" s="32">
        <f>IF(N73="MP",H73,0)</f>
        <v>0</v>
      </c>
      <c r="T73" s="32">
        <f>IF(N73="MP",I73-M73,0)</f>
        <v>0</v>
      </c>
      <c r="U73" s="32">
        <f>IF(N73="OM",H73,0)</f>
        <v>0</v>
      </c>
      <c r="V73" s="24"/>
      <c r="AF73" s="32">
        <f>SUM(W74:W80)</f>
        <v>0</v>
      </c>
      <c r="AG73" s="32">
        <f>SUM(X74:X80)</f>
        <v>0</v>
      </c>
      <c r="AH73" s="32">
        <f>SUM(Y74:Y80)</f>
        <v>0</v>
      </c>
    </row>
    <row r="74" spans="1:40" ht="12.75">
      <c r="A74" s="4" t="s">
        <v>54</v>
      </c>
      <c r="B74" s="4"/>
      <c r="C74" s="4" t="s">
        <v>121</v>
      </c>
      <c r="D74" s="4" t="s">
        <v>194</v>
      </c>
      <c r="E74" s="4" t="s">
        <v>212</v>
      </c>
      <c r="F74" s="16">
        <v>146.339</v>
      </c>
      <c r="G74" s="16"/>
      <c r="H74" s="16">
        <f aca="true" t="shared" si="31" ref="H74:H80">F74*AB74</f>
        <v>0</v>
      </c>
      <c r="I74" s="16">
        <f aca="true" t="shared" si="32" ref="I74:I80">J74-H74</f>
        <v>0</v>
      </c>
      <c r="J74" s="16">
        <f aca="true" t="shared" si="33" ref="J74:J80">F74*G74</f>
        <v>0</v>
      </c>
      <c r="K74" s="25" t="s">
        <v>10</v>
      </c>
      <c r="L74" s="16">
        <f aca="true" t="shared" si="34" ref="L74:L80">IF(K74="5",I74,0)</f>
        <v>0</v>
      </c>
      <c r="W74" s="16">
        <f aca="true" t="shared" si="35" ref="W74:W80">IF(AA74=0,J74,0)</f>
        <v>0</v>
      </c>
      <c r="X74" s="16">
        <f aca="true" t="shared" si="36" ref="X74:X80">IF(AA74=15,J74,0)</f>
        <v>0</v>
      </c>
      <c r="Y74" s="16">
        <f aca="true" t="shared" si="37" ref="Y74:Y80">IF(AA74=21,J74,0)</f>
        <v>0</v>
      </c>
      <c r="AA74" s="29">
        <v>21</v>
      </c>
      <c r="AB74" s="29">
        <f>G74*0</f>
        <v>0</v>
      </c>
      <c r="AC74" s="29">
        <f>G74*(1-0)</f>
        <v>0</v>
      </c>
      <c r="AJ74" s="29">
        <f aca="true" t="shared" si="38" ref="AJ74:AJ80">F74*AB74</f>
        <v>0</v>
      </c>
      <c r="AK74" s="29">
        <f aca="true" t="shared" si="39" ref="AK74:AK80">F74*AC74</f>
        <v>0</v>
      </c>
      <c r="AL74" s="30" t="s">
        <v>250</v>
      </c>
      <c r="AM74" s="30" t="s">
        <v>254</v>
      </c>
      <c r="AN74" s="24" t="s">
        <v>255</v>
      </c>
    </row>
    <row r="75" spans="1:40" ht="12.75">
      <c r="A75" s="4" t="s">
        <v>55</v>
      </c>
      <c r="B75" s="4"/>
      <c r="C75" s="4" t="s">
        <v>122</v>
      </c>
      <c r="D75" s="4" t="s">
        <v>195</v>
      </c>
      <c r="E75" s="4" t="s">
        <v>212</v>
      </c>
      <c r="F75" s="16">
        <v>213.652</v>
      </c>
      <c r="G75" s="16"/>
      <c r="H75" s="16">
        <f t="shared" si="31"/>
        <v>0</v>
      </c>
      <c r="I75" s="16">
        <f t="shared" si="32"/>
        <v>0</v>
      </c>
      <c r="J75" s="16">
        <f t="shared" si="33"/>
        <v>0</v>
      </c>
      <c r="K75" s="25" t="s">
        <v>10</v>
      </c>
      <c r="L75" s="16">
        <f t="shared" si="34"/>
        <v>0</v>
      </c>
      <c r="W75" s="16">
        <f t="shared" si="35"/>
        <v>0</v>
      </c>
      <c r="X75" s="16">
        <f t="shared" si="36"/>
        <v>0</v>
      </c>
      <c r="Y75" s="16">
        <f t="shared" si="37"/>
        <v>0</v>
      </c>
      <c r="AA75" s="29">
        <v>21</v>
      </c>
      <c r="AB75" s="29">
        <f>G75*0.00914225092826609</f>
        <v>0</v>
      </c>
      <c r="AC75" s="29">
        <f>G75*(1-0.00914225092826609)</f>
        <v>0</v>
      </c>
      <c r="AJ75" s="29">
        <f t="shared" si="38"/>
        <v>0</v>
      </c>
      <c r="AK75" s="29">
        <f t="shared" si="39"/>
        <v>0</v>
      </c>
      <c r="AL75" s="30" t="s">
        <v>250</v>
      </c>
      <c r="AM75" s="30" t="s">
        <v>254</v>
      </c>
      <c r="AN75" s="24" t="s">
        <v>255</v>
      </c>
    </row>
    <row r="76" spans="1:40" ht="12.75">
      <c r="A76" s="4" t="s">
        <v>56</v>
      </c>
      <c r="B76" s="4"/>
      <c r="C76" s="4" t="s">
        <v>123</v>
      </c>
      <c r="D76" s="4" t="s">
        <v>196</v>
      </c>
      <c r="E76" s="4" t="s">
        <v>212</v>
      </c>
      <c r="F76" s="16">
        <v>1922.868</v>
      </c>
      <c r="G76" s="16"/>
      <c r="H76" s="16">
        <f t="shared" si="31"/>
        <v>0</v>
      </c>
      <c r="I76" s="16">
        <f t="shared" si="32"/>
        <v>0</v>
      </c>
      <c r="J76" s="16">
        <f t="shared" si="33"/>
        <v>0</v>
      </c>
      <c r="K76" s="25" t="s">
        <v>10</v>
      </c>
      <c r="L76" s="16">
        <f t="shared" si="34"/>
        <v>0</v>
      </c>
      <c r="W76" s="16">
        <f t="shared" si="35"/>
        <v>0</v>
      </c>
      <c r="X76" s="16">
        <f t="shared" si="36"/>
        <v>0</v>
      </c>
      <c r="Y76" s="16">
        <f t="shared" si="37"/>
        <v>0</v>
      </c>
      <c r="AA76" s="29">
        <v>21</v>
      </c>
      <c r="AB76" s="29">
        <f>G76*0</f>
        <v>0</v>
      </c>
      <c r="AC76" s="29">
        <f>G76*(1-0)</f>
        <v>0</v>
      </c>
      <c r="AJ76" s="29">
        <f t="shared" si="38"/>
        <v>0</v>
      </c>
      <c r="AK76" s="29">
        <f t="shared" si="39"/>
        <v>0</v>
      </c>
      <c r="AL76" s="30" t="s">
        <v>250</v>
      </c>
      <c r="AM76" s="30" t="s">
        <v>254</v>
      </c>
      <c r="AN76" s="24" t="s">
        <v>255</v>
      </c>
    </row>
    <row r="77" spans="1:40" ht="12.75">
      <c r="A77" s="4" t="s">
        <v>57</v>
      </c>
      <c r="B77" s="4"/>
      <c r="C77" s="4" t="s">
        <v>124</v>
      </c>
      <c r="D77" s="4" t="s">
        <v>197</v>
      </c>
      <c r="E77" s="4" t="s">
        <v>212</v>
      </c>
      <c r="F77" s="16">
        <v>213.652</v>
      </c>
      <c r="G77" s="16"/>
      <c r="H77" s="16">
        <f t="shared" si="31"/>
        <v>0</v>
      </c>
      <c r="I77" s="16">
        <f t="shared" si="32"/>
        <v>0</v>
      </c>
      <c r="J77" s="16">
        <f t="shared" si="33"/>
        <v>0</v>
      </c>
      <c r="K77" s="25" t="s">
        <v>10</v>
      </c>
      <c r="L77" s="16">
        <f t="shared" si="34"/>
        <v>0</v>
      </c>
      <c r="W77" s="16">
        <f t="shared" si="35"/>
        <v>0</v>
      </c>
      <c r="X77" s="16">
        <f t="shared" si="36"/>
        <v>0</v>
      </c>
      <c r="Y77" s="16">
        <f t="shared" si="37"/>
        <v>0</v>
      </c>
      <c r="AA77" s="29">
        <v>21</v>
      </c>
      <c r="AB77" s="29">
        <f>G77*0</f>
        <v>0</v>
      </c>
      <c r="AC77" s="29">
        <f>G77*(1-0)</f>
        <v>0</v>
      </c>
      <c r="AJ77" s="29">
        <f t="shared" si="38"/>
        <v>0</v>
      </c>
      <c r="AK77" s="29">
        <f t="shared" si="39"/>
        <v>0</v>
      </c>
      <c r="AL77" s="30" t="s">
        <v>250</v>
      </c>
      <c r="AM77" s="30" t="s">
        <v>254</v>
      </c>
      <c r="AN77" s="24" t="s">
        <v>255</v>
      </c>
    </row>
    <row r="78" spans="1:40" ht="12.75">
      <c r="A78" s="4" t="s">
        <v>58</v>
      </c>
      <c r="B78" s="4"/>
      <c r="C78" s="4" t="s">
        <v>125</v>
      </c>
      <c r="D78" s="4" t="s">
        <v>198</v>
      </c>
      <c r="E78" s="4" t="s">
        <v>212</v>
      </c>
      <c r="F78" s="16">
        <v>20.454</v>
      </c>
      <c r="G78" s="16"/>
      <c r="H78" s="16">
        <f t="shared" si="31"/>
        <v>0</v>
      </c>
      <c r="I78" s="16">
        <f t="shared" si="32"/>
        <v>0</v>
      </c>
      <c r="J78" s="16">
        <f t="shared" si="33"/>
        <v>0</v>
      </c>
      <c r="K78" s="25" t="s">
        <v>10</v>
      </c>
      <c r="L78" s="16">
        <f t="shared" si="34"/>
        <v>0</v>
      </c>
      <c r="W78" s="16">
        <f t="shared" si="35"/>
        <v>0</v>
      </c>
      <c r="X78" s="16">
        <f t="shared" si="36"/>
        <v>0</v>
      </c>
      <c r="Y78" s="16">
        <f t="shared" si="37"/>
        <v>0</v>
      </c>
      <c r="AA78" s="29">
        <v>21</v>
      </c>
      <c r="AB78" s="29">
        <f>G78*0</f>
        <v>0</v>
      </c>
      <c r="AC78" s="29">
        <f>G78*(1-0)</f>
        <v>0</v>
      </c>
      <c r="AJ78" s="29">
        <f t="shared" si="38"/>
        <v>0</v>
      </c>
      <c r="AK78" s="29">
        <f t="shared" si="39"/>
        <v>0</v>
      </c>
      <c r="AL78" s="30" t="s">
        <v>250</v>
      </c>
      <c r="AM78" s="30" t="s">
        <v>254</v>
      </c>
      <c r="AN78" s="24" t="s">
        <v>255</v>
      </c>
    </row>
    <row r="79" spans="1:40" ht="12.75">
      <c r="A79" s="4" t="s">
        <v>59</v>
      </c>
      <c r="B79" s="4"/>
      <c r="C79" s="4" t="s">
        <v>126</v>
      </c>
      <c r="D79" s="4" t="s">
        <v>199</v>
      </c>
      <c r="E79" s="4" t="s">
        <v>212</v>
      </c>
      <c r="F79" s="16">
        <v>125.885</v>
      </c>
      <c r="G79" s="16"/>
      <c r="H79" s="16">
        <f t="shared" si="31"/>
        <v>0</v>
      </c>
      <c r="I79" s="16">
        <f t="shared" si="32"/>
        <v>0</v>
      </c>
      <c r="J79" s="16">
        <f t="shared" si="33"/>
        <v>0</v>
      </c>
      <c r="K79" s="25" t="s">
        <v>10</v>
      </c>
      <c r="L79" s="16">
        <f t="shared" si="34"/>
        <v>0</v>
      </c>
      <c r="W79" s="16">
        <f t="shared" si="35"/>
        <v>0</v>
      </c>
      <c r="X79" s="16">
        <f t="shared" si="36"/>
        <v>0</v>
      </c>
      <c r="Y79" s="16">
        <f t="shared" si="37"/>
        <v>0</v>
      </c>
      <c r="AA79" s="29">
        <v>21</v>
      </c>
      <c r="AB79" s="29">
        <f>G79*0</f>
        <v>0</v>
      </c>
      <c r="AC79" s="29">
        <f>G79*(1-0)</f>
        <v>0</v>
      </c>
      <c r="AJ79" s="29">
        <f t="shared" si="38"/>
        <v>0</v>
      </c>
      <c r="AK79" s="29">
        <f t="shared" si="39"/>
        <v>0</v>
      </c>
      <c r="AL79" s="30" t="s">
        <v>250</v>
      </c>
      <c r="AM79" s="30" t="s">
        <v>254</v>
      </c>
      <c r="AN79" s="24" t="s">
        <v>255</v>
      </c>
    </row>
    <row r="80" spans="1:40" ht="12.75">
      <c r="A80" s="7" t="s">
        <v>60</v>
      </c>
      <c r="B80" s="7"/>
      <c r="C80" s="7" t="s">
        <v>127</v>
      </c>
      <c r="D80" s="7" t="s">
        <v>200</v>
      </c>
      <c r="E80" s="7" t="s">
        <v>212</v>
      </c>
      <c r="F80" s="18">
        <v>67.313</v>
      </c>
      <c r="G80" s="18"/>
      <c r="H80" s="18">
        <f t="shared" si="31"/>
        <v>0</v>
      </c>
      <c r="I80" s="18">
        <f t="shared" si="32"/>
        <v>0</v>
      </c>
      <c r="J80" s="18">
        <f t="shared" si="33"/>
        <v>0</v>
      </c>
      <c r="K80" s="25" t="s">
        <v>10</v>
      </c>
      <c r="L80" s="16">
        <f t="shared" si="34"/>
        <v>0</v>
      </c>
      <c r="W80" s="16">
        <f t="shared" si="35"/>
        <v>0</v>
      </c>
      <c r="X80" s="16">
        <f t="shared" si="36"/>
        <v>0</v>
      </c>
      <c r="Y80" s="16">
        <f t="shared" si="37"/>
        <v>0</v>
      </c>
      <c r="AA80" s="29">
        <v>21</v>
      </c>
      <c r="AB80" s="29">
        <f>G80*0</f>
        <v>0</v>
      </c>
      <c r="AC80" s="29">
        <f>G80*(1-0)</f>
        <v>0</v>
      </c>
      <c r="AJ80" s="29">
        <f t="shared" si="38"/>
        <v>0</v>
      </c>
      <c r="AK80" s="29">
        <f t="shared" si="39"/>
        <v>0</v>
      </c>
      <c r="AL80" s="30" t="s">
        <v>250</v>
      </c>
      <c r="AM80" s="30" t="s">
        <v>254</v>
      </c>
      <c r="AN80" s="24" t="s">
        <v>255</v>
      </c>
    </row>
    <row r="81" spans="1:25" ht="12.75">
      <c r="A81" s="8"/>
      <c r="B81" s="8"/>
      <c r="C81" s="8"/>
      <c r="D81" s="8"/>
      <c r="E81" s="8"/>
      <c r="F81" s="8"/>
      <c r="G81" s="8"/>
      <c r="H81" s="91" t="s">
        <v>219</v>
      </c>
      <c r="I81" s="85"/>
      <c r="J81" s="33">
        <f>J12+J16+J20+J24+J27+J32+J35+J39+J43+J50+J61+J63+J70+J73</f>
        <v>0</v>
      </c>
      <c r="W81" s="34">
        <f>SUM(W13:W80)</f>
        <v>0</v>
      </c>
      <c r="X81" s="34">
        <f>SUM(X13:X80)</f>
        <v>0</v>
      </c>
      <c r="Y81" s="34">
        <f>SUM(Y13:Y80)</f>
        <v>0</v>
      </c>
    </row>
    <row r="82" ht="11.25" customHeight="1">
      <c r="A82" s="9" t="s">
        <v>61</v>
      </c>
    </row>
    <row r="83" spans="1:10" ht="409.5" customHeight="1" hidden="1">
      <c r="A83" s="51"/>
      <c r="B83" s="52"/>
      <c r="C83" s="52"/>
      <c r="D83" s="52"/>
      <c r="E83" s="52"/>
      <c r="F83" s="52"/>
      <c r="G83" s="52"/>
      <c r="H83" s="52"/>
      <c r="I83" s="52"/>
      <c r="J83" s="52"/>
    </row>
  </sheetData>
  <sheetProtection/>
  <mergeCells count="42">
    <mergeCell ref="A1:J1"/>
    <mergeCell ref="A2:C3"/>
    <mergeCell ref="D2:D3"/>
    <mergeCell ref="E2:F3"/>
    <mergeCell ref="G2:H3"/>
    <mergeCell ref="I2:I3"/>
    <mergeCell ref="J2:J3"/>
    <mergeCell ref="A4:C5"/>
    <mergeCell ref="D4:D5"/>
    <mergeCell ref="E4:F5"/>
    <mergeCell ref="G4:H5"/>
    <mergeCell ref="I4:I5"/>
    <mergeCell ref="J4:J5"/>
    <mergeCell ref="J8:J9"/>
    <mergeCell ref="A6:C7"/>
    <mergeCell ref="D6:D7"/>
    <mergeCell ref="E6:F7"/>
    <mergeCell ref="G6:H7"/>
    <mergeCell ref="I6:I7"/>
    <mergeCell ref="J6:J7"/>
    <mergeCell ref="H10:J10"/>
    <mergeCell ref="D12:G12"/>
    <mergeCell ref="D16:G16"/>
    <mergeCell ref="D20:G20"/>
    <mergeCell ref="D24:G24"/>
    <mergeCell ref="A8:C9"/>
    <mergeCell ref="D8:D9"/>
    <mergeCell ref="E8:F9"/>
    <mergeCell ref="G8:H9"/>
    <mergeCell ref="I8:I9"/>
    <mergeCell ref="D27:G27"/>
    <mergeCell ref="D32:G32"/>
    <mergeCell ref="D35:G35"/>
    <mergeCell ref="D39:G39"/>
    <mergeCell ref="D43:G43"/>
    <mergeCell ref="D50:G50"/>
    <mergeCell ref="D61:G61"/>
    <mergeCell ref="D63:G63"/>
    <mergeCell ref="D70:G70"/>
    <mergeCell ref="D73:G73"/>
    <mergeCell ref="H81:I81"/>
    <mergeCell ref="A83:J8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kokej1</cp:lastModifiedBy>
  <cp:lastPrinted>2016-05-26T11:45:10Z</cp:lastPrinted>
  <dcterms:modified xsi:type="dcterms:W3CDTF">2016-05-26T11:45:11Z</dcterms:modified>
  <cp:category/>
  <cp:version/>
  <cp:contentType/>
  <cp:contentStatus/>
</cp:coreProperties>
</file>