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Krycí list rozpočtu" sheetId="1" r:id="rId1"/>
    <sheet name="Stavební rozpočet" sheetId="2" r:id="rId2"/>
  </sheets>
  <definedNames/>
  <calcPr fullCalcOnLoad="1"/>
</workbook>
</file>

<file path=xl/sharedStrings.xml><?xml version="1.0" encoding="utf-8"?>
<sst xmlns="http://schemas.openxmlformats.org/spreadsheetml/2006/main" count="328" uniqueCount="225">
  <si>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</si>
  <si>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</si>
  <si>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</si>
  <si>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</si>
  <si>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</si>
  <si>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</si>
  <si>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</si>
  <si>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</si>
  <si>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</si>
  <si>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</si>
  <si>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</si>
  <si>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</si>
  <si>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</si>
  <si>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</si>
  <si>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</si>
  <si>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</si>
  <si>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</si>
  <si>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</si>
  <si>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</si>
  <si>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</si>
  <si>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</si>
  <si>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</si>
  <si>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</si>
  <si>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</si>
  <si>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</si>
  <si>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</si>
  <si>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</si>
  <si>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</si>
  <si>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</si>
  <si>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</si>
  <si>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</si>
  <si>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</si>
  <si>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</si>
  <si>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</si>
  <si>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</si>
  <si>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Kód</t>
  </si>
  <si>
    <t>289970111R00</t>
  </si>
  <si>
    <t>34</t>
  </si>
  <si>
    <t>342264051RT1</t>
  </si>
  <si>
    <t>342265191R00</t>
  </si>
  <si>
    <t>342265192R00</t>
  </si>
  <si>
    <t>59590914.A</t>
  </si>
  <si>
    <t>340237212RT2</t>
  </si>
  <si>
    <t>61</t>
  </si>
  <si>
    <t>612100020RA0</t>
  </si>
  <si>
    <t>766</t>
  </si>
  <si>
    <t>766421822R00</t>
  </si>
  <si>
    <t>766421811R00</t>
  </si>
  <si>
    <t>784</t>
  </si>
  <si>
    <t>784111101R00</t>
  </si>
  <si>
    <t>784195112R00</t>
  </si>
  <si>
    <t>94</t>
  </si>
  <si>
    <t>946941102RT3</t>
  </si>
  <si>
    <t>946941192RT3</t>
  </si>
  <si>
    <t>946941802RT3</t>
  </si>
  <si>
    <t>941955003R00</t>
  </si>
  <si>
    <t>95</t>
  </si>
  <si>
    <t>952901111R00</t>
  </si>
  <si>
    <t>97</t>
  </si>
  <si>
    <t>971033431R00</t>
  </si>
  <si>
    <t>971033531R00</t>
  </si>
  <si>
    <t>H99</t>
  </si>
  <si>
    <t>999281111R00</t>
  </si>
  <si>
    <t>S</t>
  </si>
  <si>
    <t>979011211R00</t>
  </si>
  <si>
    <t>979011219R00</t>
  </si>
  <si>
    <t>979082111R00</t>
  </si>
  <si>
    <t>979082121R00</t>
  </si>
  <si>
    <t>979083117R00</t>
  </si>
  <si>
    <t>979083191R00</t>
  </si>
  <si>
    <t>979087113R00</t>
  </si>
  <si>
    <t>979990191R00</t>
  </si>
  <si>
    <t>979999998R00</t>
  </si>
  <si>
    <t>MSD Kolín</t>
  </si>
  <si>
    <t>Stavební úpravy MSD Kolín</t>
  </si>
  <si>
    <t>Kolín</t>
  </si>
  <si>
    <t>Zkrácený popis</t>
  </si>
  <si>
    <t>Nezařazeno</t>
  </si>
  <si>
    <t>Zpevňování hornin a konstrukcí</t>
  </si>
  <si>
    <t>Zakrytí podlah proti poškození - vrstva geotextilie 500g/m2</t>
  </si>
  <si>
    <t>Stěny a příčky</t>
  </si>
  <si>
    <t>Podhled sádrokartonový na zavěšenou ocel. konstr., desky standard tl. 12,5 mm, bez izolace křížový rastr, závěs dl. 1m</t>
  </si>
  <si>
    <t>Příplatek za otvor v podhledu pl. 0,25 m2</t>
  </si>
  <si>
    <t>Příplatek za otvor v podhledu pl. 0,50 m2</t>
  </si>
  <si>
    <t>Páska SDK rohová - pevná a nárezu odolná páska na ochranu rohů a k vyztoužení koutů (např. easy flex)</t>
  </si>
  <si>
    <t>Zazdívka otvorů pl.0,25m2,cihlami tl.zdi nad 10 cm</t>
  </si>
  <si>
    <t>Úprava povrchů vnitřní</t>
  </si>
  <si>
    <t>Začištění omítek kolem prostupů</t>
  </si>
  <si>
    <t>Konstrukce truhlářské</t>
  </si>
  <si>
    <t>Demontáž podkladových roštů obložení podhledů</t>
  </si>
  <si>
    <t>Demontáž stávajících podhledů</t>
  </si>
  <si>
    <t>Malby</t>
  </si>
  <si>
    <t>Penetrace podkladu nátěrem malířským 1 x</t>
  </si>
  <si>
    <t>Malba tekutá, bílá, 2 x</t>
  </si>
  <si>
    <t>Lešení a stavební výtahy</t>
  </si>
  <si>
    <t>Montáž pojízdných Alu věží, 2,5 x 1,45 m</t>
  </si>
  <si>
    <t>Nájemné pojízdných Alu věží, 2,5 x 1,45 m</t>
  </si>
  <si>
    <t>Demontáž pojízdných Alu věží, 2,5 x 1,45 m</t>
  </si>
  <si>
    <t>Lešení lehké pomocné, výška podlahy do 2,5 m</t>
  </si>
  <si>
    <t>Různé dokončovací konstrukce a práce na pozemních stavbách</t>
  </si>
  <si>
    <t>Vyčištění budov o výšce podlaží do 4 m</t>
  </si>
  <si>
    <t>Prorážení otvorů a ostatní bourací práce</t>
  </si>
  <si>
    <t>Vybourání otv. zeď cihel. pl.0,25 m2, tl.15cm, MVC</t>
  </si>
  <si>
    <t>Vybourání otv. zeď cihel. pl.1 m2, tl.15 cm, MVC</t>
  </si>
  <si>
    <t>Ostatní přesuny hmot</t>
  </si>
  <si>
    <t>Přesun hmot pro opravy a údržbu do výšky 25 m</t>
  </si>
  <si>
    <t>Přesuny sutí</t>
  </si>
  <si>
    <t>Svislá doprava suti a vybour. hmot za 2.NP nošením</t>
  </si>
  <si>
    <t>Přípl.k svislé dopr.suti za každé další NP nošením</t>
  </si>
  <si>
    <t>Vnitrostaveništní doprava suti do 10 m</t>
  </si>
  <si>
    <t>Příplatek k vnitrost. dopravě suti za dalších 5 m</t>
  </si>
  <si>
    <t>Vodorovné přemístění suti na skládku do 6000 m</t>
  </si>
  <si>
    <t>Příplatek za dalších započatých 1000 m nad 6000 m</t>
  </si>
  <si>
    <t>Nakládání vybouraných hmot na dopravní prostředky</t>
  </si>
  <si>
    <t>Poplatek za skládku vybouranýh hmot - směsný odpad</t>
  </si>
  <si>
    <t>Poplatek za skládku suti - recyklát</t>
  </si>
  <si>
    <t>Doba výstavby:</t>
  </si>
  <si>
    <t>Začátek výstavby:</t>
  </si>
  <si>
    <t>Konec výstavby:</t>
  </si>
  <si>
    <t>Zpracováno dne:</t>
  </si>
  <si>
    <t>M.j.</t>
  </si>
  <si>
    <t>m2</t>
  </si>
  <si>
    <t>kus</t>
  </si>
  <si>
    <t>m</t>
  </si>
  <si>
    <t>soubor</t>
  </si>
  <si>
    <t>den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</si>
  <si>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</si>
  <si>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</si>
  <si>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</si>
  <si>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</si>
  <si>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</si>
  <si>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</si>
  <si>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</si>
  <si>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</si>
  <si>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</si>
  <si>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</si>
  <si>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</si>
  <si>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</si>
  <si>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Ing. Fratišek Novák</t>
  </si>
  <si>
    <t>Celkem</t>
  </si>
  <si>
    <t>Hmotnost (t)</t>
  </si>
  <si>
    <t>0</t>
  </si>
  <si>
    <t>Přesuny</t>
  </si>
  <si>
    <t>Typ skupiny</t>
  </si>
  <si>
    <t>HS</t>
  </si>
  <si>
    <t>PS</t>
  </si>
  <si>
    <t>PR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</si>
  <si>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</si>
  <si>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</si>
  <si>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</si>
  <si>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</si>
  <si>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</si>
  <si>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</si>
  <si>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</si>
  <si>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</si>
  <si>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</si>
  <si>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</si>
  <si>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</si>
  <si>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</si>
  <si>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</si>
  <si>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</si>
  <si>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</si>
  <si>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</si>
  <si>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</si>
  <si>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</si>
  <si>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</si>
  <si>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</si>
  <si>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</si>
  <si>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</si>
  <si>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</si>
  <si>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</si>
  <si>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</si>
  <si>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</si>
  <si>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</si>
  <si>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</si>
  <si>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</si>
  <si>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</si>
  <si>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</si>
  <si>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</si>
  <si>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</si>
  <si>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</si>
  <si>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</si>
  <si>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</si>
  <si>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</si>
  <si>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</si>
  <si>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</si>
  <si>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</si>
  <si>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</si>
  <si>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</si>
  <si>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</si>
  <si>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</si>
  <si>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</si>
  <si>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</si>
  <si>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RTS - podzim 2015</t>
  </si>
  <si>
    <t>Cenová úroveň:</t>
  </si>
  <si>
    <t>M21</t>
  </si>
  <si>
    <t>M24</t>
  </si>
  <si>
    <t>Elektromontáže</t>
  </si>
  <si>
    <t>Montáže vzduchotechnických zařízení</t>
  </si>
  <si>
    <t>29</t>
  </si>
  <si>
    <t>30</t>
  </si>
  <si>
    <t>211XXXVD</t>
  </si>
  <si>
    <t xml:space="preserve">Dodávka a montáž elektroinstalace viz samostatný výpis v EL části PD </t>
  </si>
  <si>
    <t>244XXXVD</t>
  </si>
  <si>
    <t>Dodávka a montáž VZT zařízení viz. samostatný výpis ve VZT části PD</t>
  </si>
  <si>
    <t>Zařízení staveniště 2,5%</t>
  </si>
  <si>
    <t>767990010RAD</t>
  </si>
  <si>
    <t>Atypické ocelové konstrukce, 50 - 100 kg/kus  - nosníky I 180mm vč. ocel. plechu a svárů vč. pomocného lešení do H=5m</t>
  </si>
  <si>
    <t>kg</t>
  </si>
  <si>
    <t>767990010RAC</t>
  </si>
  <si>
    <t>Atypické ocelové konstrukce, 10 - 50 kg/kus ocelové závěsy z kulatiny pr. 20mm vč. svárů</t>
  </si>
  <si>
    <t>953981104R00</t>
  </si>
  <si>
    <t>Chemické kotvy do betonu, hl. 125 mm, M 16, ampule</t>
  </si>
  <si>
    <t>ks</t>
  </si>
  <si>
    <t>31179129</t>
  </si>
  <si>
    <t>tyč závitová M16, DIN 975, poz.</t>
  </si>
  <si>
    <t>311110220000</t>
  </si>
  <si>
    <t>Matice ocelová pozinkovaná 02 1401.2  M16</t>
  </si>
  <si>
    <t>783225100R00</t>
  </si>
  <si>
    <t>Nátěr syntetický kovových konstrukcí 2x + 1x email</t>
  </si>
  <si>
    <t>31</t>
  </si>
  <si>
    <t>32</t>
  </si>
  <si>
    <t>33</t>
  </si>
  <si>
    <t>35</t>
  </si>
  <si>
    <t>36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</si>
</sst>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8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8" fillId="33" borderId="24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10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10" fillId="0" borderId="24" xfId="0" applyNumberFormat="1" applyFont="1" applyFill="1" applyBorder="1" applyAlignment="1" applyProtection="1">
      <alignment horizontal="right" vertical="center"/>
      <protection/>
    </xf>
    <xf numFmtId="49" fontId="10" fillId="0" borderId="24" xfId="0" applyNumberFormat="1" applyFont="1" applyFill="1" applyBorder="1" applyAlignment="1" applyProtection="1">
      <alignment horizontal="right" vertical="center"/>
      <protection/>
    </xf>
    <xf numFmtId="4" fontId="9" fillId="33" borderId="3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0" fillId="0" borderId="32" xfId="0" applyNumberFormat="1" applyFont="1" applyFill="1" applyBorder="1" applyAlignment="1" applyProtection="1">
      <alignment horizontal="left" vertical="center"/>
      <protection/>
    </xf>
    <xf numFmtId="0" fontId="10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14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49" fontId="11" fillId="0" borderId="32" xfId="0" applyNumberFormat="1" applyFont="1" applyFill="1" applyBorder="1" applyAlignment="1" applyProtection="1">
      <alignment horizontal="left" vertical="center"/>
      <protection/>
    </xf>
    <xf numFmtId="0" fontId="11" fillId="0" borderId="30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left" vertical="center"/>
      <protection/>
    </xf>
    <xf numFmtId="0" fontId="9" fillId="0" borderId="30" xfId="0" applyNumberFormat="1" applyFont="1" applyFill="1" applyBorder="1" applyAlignment="1" applyProtection="1">
      <alignment horizontal="left" vertical="center"/>
      <protection/>
    </xf>
    <xf numFmtId="49" fontId="9" fillId="33" borderId="32" xfId="0" applyNumberFormat="1" applyFont="1" applyFill="1" applyBorder="1" applyAlignment="1" applyProtection="1">
      <alignment horizontal="left" vertical="center"/>
      <protection/>
    </xf>
    <xf numFmtId="0" fontId="9" fillId="33" borderId="27" xfId="0" applyNumberFormat="1" applyFont="1" applyFill="1" applyBorder="1" applyAlignment="1" applyProtection="1">
      <alignment horizontal="left" vertical="center"/>
      <protection/>
    </xf>
    <xf numFmtId="49" fontId="10" fillId="0" borderId="23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36" xfId="0" applyNumberFormat="1" applyFont="1" applyFill="1" applyBorder="1" applyAlignment="1" applyProtection="1">
      <alignment horizontal="left" vertical="center"/>
      <protection/>
    </xf>
    <xf numFmtId="49" fontId="10" fillId="0" borderId="37" xfId="0" applyNumberFormat="1" applyFont="1" applyFill="1" applyBorder="1" applyAlignment="1" applyProtection="1">
      <alignment horizontal="left" vertical="center"/>
      <protection/>
    </xf>
    <xf numFmtId="0" fontId="10" fillId="0" borderId="38" xfId="0" applyNumberFormat="1" applyFont="1" applyFill="1" applyBorder="1" applyAlignment="1" applyProtection="1">
      <alignment horizontal="left" vertical="center"/>
      <protection/>
    </xf>
    <xf numFmtId="0" fontId="10" fillId="0" borderId="39" xfId="0" applyNumberFormat="1" applyFont="1" applyFill="1" applyBorder="1" applyAlignment="1" applyProtection="1">
      <alignment horizontal="left" vertical="center"/>
      <protection/>
    </xf>
    <xf numFmtId="49" fontId="10" fillId="0" borderId="40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left" vertical="center"/>
      <protection/>
    </xf>
    <xf numFmtId="0" fontId="10" fillId="0" borderId="41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I10" sqref="I10:I11"/>
    </sheetView>
  </sheetViews>
  <sheetFormatPr defaultColWidth="11.421875" defaultRowHeight="12.75"/>
  <cols>
    <col min="1" max="1" width="11.42187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11.421875" style="0" customWidth="1"/>
    <col min="8" max="8" width="13.28125" style="0" customWidth="1"/>
    <col min="9" max="9" width="22.421875" style="0" customWidth="1"/>
  </cols>
  <sheetData>
    <row r="1" spans="1:9" ht="28.5" customHeight="1">
      <c r="A1" s="46" t="s">
        <v>154</v>
      </c>
      <c r="B1" s="47"/>
      <c r="C1" s="47"/>
      <c r="D1" s="47"/>
      <c r="E1" s="47"/>
      <c r="F1" s="47"/>
      <c r="G1" s="47"/>
      <c r="H1" s="47"/>
      <c r="I1" s="47"/>
    </row>
    <row r="2" spans="1:10" ht="12.75">
      <c r="A2" s="48" t="s">
        <v>1</v>
      </c>
      <c r="B2" s="49"/>
      <c r="C2" s="55" t="s">
        <v>73</v>
      </c>
      <c r="D2" s="56"/>
      <c r="E2" s="60" t="s">
        <v>133</v>
      </c>
      <c r="F2" s="60"/>
      <c r="G2" s="49"/>
      <c r="H2" s="60" t="s">
        <v>189</v>
      </c>
      <c r="I2" s="63"/>
      <c r="J2" s="24"/>
    </row>
    <row r="3" spans="1:10" ht="12.75">
      <c r="A3" s="50"/>
      <c r="B3" s="51"/>
      <c r="C3" s="57"/>
      <c r="D3" s="57"/>
      <c r="E3" s="51"/>
      <c r="F3" s="51"/>
      <c r="G3" s="51"/>
      <c r="H3" s="51"/>
      <c r="I3" s="64"/>
      <c r="J3" s="24"/>
    </row>
    <row r="4" spans="1:10" ht="12.75">
      <c r="A4" s="52" t="s">
        <v>2</v>
      </c>
      <c r="B4" s="51"/>
      <c r="C4" s="58" t="s">
        <v>74</v>
      </c>
      <c r="D4" s="51"/>
      <c r="E4" s="58" t="s">
        <v>134</v>
      </c>
      <c r="F4" s="58" t="s">
        <v>138</v>
      </c>
      <c r="G4" s="51"/>
      <c r="H4" s="58" t="s">
        <v>189</v>
      </c>
      <c r="I4" s="65"/>
      <c r="J4" s="24"/>
    </row>
    <row r="5" spans="1:10" ht="12.75">
      <c r="A5" s="50"/>
      <c r="B5" s="51"/>
      <c r="C5" s="51"/>
      <c r="D5" s="51"/>
      <c r="E5" s="51"/>
      <c r="F5" s="51"/>
      <c r="G5" s="51"/>
      <c r="H5" s="51"/>
      <c r="I5" s="64"/>
      <c r="J5" s="24"/>
    </row>
    <row r="6" spans="1:10" ht="12.75">
      <c r="A6" s="52" t="s">
        <v>3</v>
      </c>
      <c r="B6" s="51"/>
      <c r="C6" s="58" t="s">
        <v>75</v>
      </c>
      <c r="D6" s="51"/>
      <c r="E6" s="58" t="s">
        <v>135</v>
      </c>
      <c r="F6" s="58"/>
      <c r="G6" s="51"/>
      <c r="H6" s="58" t="s">
        <v>189</v>
      </c>
      <c r="I6" s="65"/>
      <c r="J6" s="24"/>
    </row>
    <row r="7" spans="1:10" ht="12.75">
      <c r="A7" s="50"/>
      <c r="B7" s="51"/>
      <c r="C7" s="51"/>
      <c r="D7" s="51"/>
      <c r="E7" s="51"/>
      <c r="F7" s="51"/>
      <c r="G7" s="51"/>
      <c r="H7" s="51"/>
      <c r="I7" s="64"/>
      <c r="J7" s="24"/>
    </row>
    <row r="8" spans="1:10" ht="12.75">
      <c r="A8" s="52" t="s">
        <v>117</v>
      </c>
      <c r="B8" s="51"/>
      <c r="C8" s="59">
        <v>42351</v>
      </c>
      <c r="D8" s="51"/>
      <c r="E8" s="58" t="s">
        <v>118</v>
      </c>
      <c r="F8" s="51"/>
      <c r="G8" s="51"/>
      <c r="H8" s="58" t="s">
        <v>190</v>
      </c>
      <c r="I8" s="65" t="s">
        <v>224</v>
      </c>
      <c r="J8" s="24"/>
    </row>
    <row r="9" spans="1:10" ht="12.75">
      <c r="A9" s="50"/>
      <c r="B9" s="51"/>
      <c r="C9" s="51"/>
      <c r="D9" s="51"/>
      <c r="E9" s="51"/>
      <c r="F9" s="51"/>
      <c r="G9" s="51"/>
      <c r="H9" s="51"/>
      <c r="I9" s="64"/>
      <c r="J9" s="24"/>
    </row>
    <row r="10" spans="1:10" ht="12.75">
      <c r="A10" s="52" t="s">
        <v>4</v>
      </c>
      <c r="B10" s="51"/>
      <c r="C10" s="58"/>
      <c r="D10" s="51"/>
      <c r="E10" s="58" t="s">
        <v>136</v>
      </c>
      <c r="F10" s="58"/>
      <c r="G10" s="51"/>
      <c r="H10" s="58" t="s">
        <v>191</v>
      </c>
      <c r="I10" s="66">
        <v>42351</v>
      </c>
      <c r="J10" s="24"/>
    </row>
    <row r="11" spans="1:10" ht="12.75">
      <c r="A11" s="53"/>
      <c r="B11" s="54"/>
      <c r="C11" s="54"/>
      <c r="D11" s="54"/>
      <c r="E11" s="54"/>
      <c r="F11" s="54"/>
      <c r="G11" s="54"/>
      <c r="H11" s="54"/>
      <c r="I11" s="67"/>
      <c r="J11" s="24"/>
    </row>
    <row r="12" spans="1:9" ht="23.25" customHeight="1">
      <c r="A12" s="68" t="s">
        <v>155</v>
      </c>
      <c r="B12" s="69"/>
      <c r="C12" s="69"/>
      <c r="D12" s="69"/>
      <c r="E12" s="69"/>
      <c r="F12" s="69"/>
      <c r="G12" s="69"/>
      <c r="H12" s="69"/>
      <c r="I12" s="69"/>
    </row>
    <row r="13" spans="1:10" ht="26.25" customHeight="1">
      <c r="A13" s="33" t="s">
        <v>156</v>
      </c>
      <c r="B13" s="70" t="s">
        <v>168</v>
      </c>
      <c r="C13" s="71"/>
      <c r="D13" s="33" t="s">
        <v>170</v>
      </c>
      <c r="E13" s="70" t="s">
        <v>178</v>
      </c>
      <c r="F13" s="71"/>
      <c r="G13" s="33" t="s">
        <v>179</v>
      </c>
      <c r="H13" s="70" t="s">
        <v>192</v>
      </c>
      <c r="I13" s="71"/>
      <c r="J13" s="24"/>
    </row>
    <row r="14" spans="1:10" ht="15" customHeight="1">
      <c r="A14" s="34" t="s">
        <v>157</v>
      </c>
      <c r="B14" s="39" t="s">
        <v>169</v>
      </c>
      <c r="C14" s="42">
        <f>SUM('Stavební rozpočet'!Q12:Q60)</f>
        <v>0</v>
      </c>
      <c r="D14" s="61" t="s">
        <v>171</v>
      </c>
      <c r="E14" s="62"/>
      <c r="F14" s="42">
        <v>0</v>
      </c>
      <c r="G14" s="61" t="s">
        <v>205</v>
      </c>
      <c r="H14" s="62"/>
      <c r="I14" s="42">
        <f>'Stavební rozpočet'!I61*0.025</f>
        <v>0</v>
      </c>
      <c r="J14" s="24"/>
    </row>
    <row r="15" spans="1:10" ht="15" customHeight="1">
      <c r="A15" s="35"/>
      <c r="B15" s="39" t="s">
        <v>137</v>
      </c>
      <c r="C15" s="42">
        <f>SUM('Stavební rozpočet'!R12:R60)</f>
        <v>0</v>
      </c>
      <c r="D15" s="61" t="s">
        <v>172</v>
      </c>
      <c r="E15" s="62"/>
      <c r="F15" s="42">
        <v>0</v>
      </c>
      <c r="G15" s="61" t="s">
        <v>180</v>
      </c>
      <c r="H15" s="62"/>
      <c r="I15" s="42">
        <v>0</v>
      </c>
      <c r="J15" s="24"/>
    </row>
    <row r="16" spans="1:10" ht="15" customHeight="1">
      <c r="A16" s="34" t="s">
        <v>158</v>
      </c>
      <c r="B16" s="39" t="s">
        <v>169</v>
      </c>
      <c r="C16" s="42">
        <f>SUM('Stavební rozpočet'!S12:S60)</f>
        <v>0</v>
      </c>
      <c r="D16" s="61" t="s">
        <v>173</v>
      </c>
      <c r="E16" s="62"/>
      <c r="F16" s="42">
        <v>0</v>
      </c>
      <c r="G16" s="61" t="s">
        <v>181</v>
      </c>
      <c r="H16" s="62"/>
      <c r="I16" s="42">
        <v>0</v>
      </c>
      <c r="J16" s="24"/>
    </row>
    <row r="17" spans="1:10" ht="15" customHeight="1">
      <c r="A17" s="35"/>
      <c r="B17" s="39" t="s">
        <v>137</v>
      </c>
      <c r="C17" s="42">
        <f>SUM('Stavební rozpočet'!T12:T60)</f>
        <v>0</v>
      </c>
      <c r="D17" s="61"/>
      <c r="E17" s="62"/>
      <c r="F17" s="43"/>
      <c r="G17" s="61" t="s">
        <v>182</v>
      </c>
      <c r="H17" s="62"/>
      <c r="I17" s="42">
        <v>0</v>
      </c>
      <c r="J17" s="24"/>
    </row>
    <row r="18" spans="1:10" ht="15" customHeight="1">
      <c r="A18" s="34" t="s">
        <v>159</v>
      </c>
      <c r="B18" s="39" t="s">
        <v>169</v>
      </c>
      <c r="C18" s="42">
        <f>SUM('Stavební rozpočet'!H47,'Stavební rozpočet'!H49)</f>
        <v>0</v>
      </c>
      <c r="D18" s="61"/>
      <c r="E18" s="62"/>
      <c r="F18" s="43"/>
      <c r="G18" s="61" t="s">
        <v>183</v>
      </c>
      <c r="H18" s="62"/>
      <c r="I18" s="42">
        <v>0</v>
      </c>
      <c r="J18" s="24"/>
    </row>
    <row r="19" spans="1:10" ht="15" customHeight="1">
      <c r="A19" s="35"/>
      <c r="B19" s="39" t="s">
        <v>137</v>
      </c>
      <c r="C19" s="42">
        <f>SUM('Stavební rozpočet'!G47,'Stavební rozpočet'!G49)</f>
        <v>0</v>
      </c>
      <c r="D19" s="61"/>
      <c r="E19" s="62"/>
      <c r="F19" s="43"/>
      <c r="G19" s="61" t="s">
        <v>184</v>
      </c>
      <c r="H19" s="62"/>
      <c r="I19" s="42">
        <v>0</v>
      </c>
      <c r="J19" s="24"/>
    </row>
    <row r="20" spans="1:10" ht="15" customHeight="1">
      <c r="A20" s="72" t="s">
        <v>160</v>
      </c>
      <c r="B20" s="73"/>
      <c r="C20" s="42">
        <f>SUM('Stavební rozpočet'!W12:W60)</f>
        <v>0</v>
      </c>
      <c r="D20" s="61"/>
      <c r="E20" s="62"/>
      <c r="F20" s="43"/>
      <c r="G20" s="61"/>
      <c r="H20" s="62"/>
      <c r="I20" s="43"/>
      <c r="J20" s="24"/>
    </row>
    <row r="21" spans="1:10" ht="15" customHeight="1">
      <c r="A21" s="72" t="s">
        <v>161</v>
      </c>
      <c r="B21" s="73"/>
      <c r="C21" s="42">
        <f>SUM('Stavební rozpočet'!I45,'Stavební rozpočet'!I51)</f>
        <v>0</v>
      </c>
      <c r="D21" s="61"/>
      <c r="E21" s="62"/>
      <c r="F21" s="43"/>
      <c r="G21" s="61"/>
      <c r="H21" s="62"/>
      <c r="I21" s="43"/>
      <c r="J21" s="24"/>
    </row>
    <row r="22" spans="1:10" ht="16.5" customHeight="1">
      <c r="A22" s="72" t="s">
        <v>162</v>
      </c>
      <c r="B22" s="73"/>
      <c r="C22" s="42">
        <f>SUM(C14:C21)</f>
        <v>0</v>
      </c>
      <c r="D22" s="72" t="s">
        <v>174</v>
      </c>
      <c r="E22" s="73"/>
      <c r="F22" s="42">
        <f>SUM(F14:F21)</f>
        <v>0</v>
      </c>
      <c r="G22" s="72" t="s">
        <v>185</v>
      </c>
      <c r="H22" s="73"/>
      <c r="I22" s="42">
        <f>SUM(I14:I21)</f>
        <v>0</v>
      </c>
      <c r="J22" s="24"/>
    </row>
    <row r="23" spans="1:9" ht="12.75">
      <c r="A23" s="36"/>
      <c r="B23" s="36"/>
      <c r="C23" s="36"/>
      <c r="D23" s="8"/>
      <c r="E23" s="8"/>
      <c r="F23" s="8"/>
      <c r="G23" s="8"/>
      <c r="H23" s="8"/>
      <c r="I23" s="8"/>
    </row>
    <row r="24" spans="1:9" ht="15" customHeight="1">
      <c r="A24" s="74" t="s">
        <v>163</v>
      </c>
      <c r="B24" s="75"/>
      <c r="C24" s="44">
        <f>SUM('Stavební rozpočet'!Y12:Y60)</f>
        <v>0</v>
      </c>
      <c r="D24" s="40"/>
      <c r="E24" s="41"/>
      <c r="F24" s="41"/>
      <c r="G24" s="41"/>
      <c r="H24" s="41"/>
      <c r="I24" s="41"/>
    </row>
    <row r="25" spans="1:10" ht="15" customHeight="1">
      <c r="A25" s="74" t="s">
        <v>164</v>
      </c>
      <c r="B25" s="75"/>
      <c r="C25" s="44">
        <f>SUM('Stavební rozpočet'!Z12:Z60)</f>
        <v>0</v>
      </c>
      <c r="D25" s="74" t="s">
        <v>175</v>
      </c>
      <c r="E25" s="75"/>
      <c r="F25" s="44">
        <f>ROUND(C25*(15/100),2)</f>
        <v>0</v>
      </c>
      <c r="G25" s="74" t="s">
        <v>186</v>
      </c>
      <c r="H25" s="75"/>
      <c r="I25" s="44">
        <f>SUM(C24:C26)</f>
        <v>0</v>
      </c>
      <c r="J25" s="24"/>
    </row>
    <row r="26" spans="1:10" ht="15" customHeight="1">
      <c r="A26" s="74" t="s">
        <v>165</v>
      </c>
      <c r="B26" s="75"/>
      <c r="C26" s="44">
        <f>SUM(C22,F22,I22)</f>
        <v>0</v>
      </c>
      <c r="D26" s="74" t="s">
        <v>176</v>
      </c>
      <c r="E26" s="75"/>
      <c r="F26" s="44">
        <f>ROUND(C26*(21/100),2)</f>
        <v>0</v>
      </c>
      <c r="G26" s="74" t="s">
        <v>187</v>
      </c>
      <c r="H26" s="75"/>
      <c r="I26" s="44">
        <f>SUM(F25:F26)+I25</f>
        <v>0</v>
      </c>
      <c r="J26" s="24"/>
    </row>
    <row r="27" spans="1:9" ht="12.75">
      <c r="A27" s="37"/>
      <c r="B27" s="37"/>
      <c r="C27" s="37"/>
      <c r="D27" s="37"/>
      <c r="E27" s="37"/>
      <c r="F27" s="37"/>
      <c r="G27" s="37"/>
      <c r="H27" s="37"/>
      <c r="I27" s="37"/>
    </row>
    <row r="28" spans="1:10" ht="14.25" customHeight="1">
      <c r="A28" s="82" t="s">
        <v>166</v>
      </c>
      <c r="B28" s="83"/>
      <c r="C28" s="84"/>
      <c r="D28" s="82" t="s">
        <v>177</v>
      </c>
      <c r="E28" s="83"/>
      <c r="F28" s="84"/>
      <c r="G28" s="82" t="s">
        <v>188</v>
      </c>
      <c r="H28" s="83"/>
      <c r="I28" s="84"/>
      <c r="J28" s="25"/>
    </row>
    <row r="29" spans="1:10" ht="14.25" customHeight="1">
      <c r="A29" s="76"/>
      <c r="B29" s="77"/>
      <c r="C29" s="78"/>
      <c r="D29" s="76"/>
      <c r="E29" s="77"/>
      <c r="F29" s="78"/>
      <c r="G29" s="76"/>
      <c r="H29" s="77"/>
      <c r="I29" s="78"/>
      <c r="J29" s="25"/>
    </row>
    <row r="30" spans="1:10" ht="14.25" customHeight="1">
      <c r="A30" s="76"/>
      <c r="B30" s="77"/>
      <c r="C30" s="78"/>
      <c r="D30" s="76"/>
      <c r="E30" s="77"/>
      <c r="F30" s="78"/>
      <c r="G30" s="76"/>
      <c r="H30" s="77"/>
      <c r="I30" s="78"/>
      <c r="J30" s="25"/>
    </row>
    <row r="31" spans="1:10" ht="14.25" customHeight="1">
      <c r="A31" s="76"/>
      <c r="B31" s="77"/>
      <c r="C31" s="78"/>
      <c r="D31" s="76"/>
      <c r="E31" s="77"/>
      <c r="F31" s="78"/>
      <c r="G31" s="76"/>
      <c r="H31" s="77"/>
      <c r="I31" s="78"/>
      <c r="J31" s="25"/>
    </row>
    <row r="32" spans="1:10" ht="14.25" customHeight="1">
      <c r="A32" s="79" t="s">
        <v>167</v>
      </c>
      <c r="B32" s="80"/>
      <c r="C32" s="81"/>
      <c r="D32" s="79" t="s">
        <v>167</v>
      </c>
      <c r="E32" s="80"/>
      <c r="F32" s="81"/>
      <c r="G32" s="79" t="s">
        <v>167</v>
      </c>
      <c r="H32" s="80"/>
      <c r="I32" s="81"/>
      <c r="J32" s="25"/>
    </row>
    <row r="33" spans="1:9" ht="12.75">
      <c r="A33" s="38"/>
      <c r="B33" s="38"/>
      <c r="C33" s="38"/>
      <c r="D33" s="38"/>
      <c r="E33" s="38"/>
      <c r="F33" s="38"/>
      <c r="G33" s="38"/>
      <c r="H33" s="38"/>
      <c r="I33" s="38"/>
    </row>
  </sheetData>
  <sheetProtection/>
  <mergeCells count="78">
    <mergeCell ref="D30:F30"/>
    <mergeCell ref="D31:F31"/>
    <mergeCell ref="D32:F32"/>
    <mergeCell ref="A26:B26"/>
    <mergeCell ref="G29:I29"/>
    <mergeCell ref="G30:I30"/>
    <mergeCell ref="G31:I31"/>
    <mergeCell ref="G32:I32"/>
    <mergeCell ref="A29:C29"/>
    <mergeCell ref="D26:E26"/>
    <mergeCell ref="A30:C30"/>
    <mergeCell ref="A31:C31"/>
    <mergeCell ref="A32:C32"/>
    <mergeCell ref="G25:H25"/>
    <mergeCell ref="G26:H26"/>
    <mergeCell ref="A28:C28"/>
    <mergeCell ref="G28:I28"/>
    <mergeCell ref="D28:F28"/>
    <mergeCell ref="D29:F29"/>
    <mergeCell ref="G19:H19"/>
    <mergeCell ref="G20:H20"/>
    <mergeCell ref="G21:H21"/>
    <mergeCell ref="G22:H22"/>
    <mergeCell ref="A24:B24"/>
    <mergeCell ref="A25:B25"/>
    <mergeCell ref="D25:E25"/>
    <mergeCell ref="D18:E18"/>
    <mergeCell ref="D19:E19"/>
    <mergeCell ref="D20:E20"/>
    <mergeCell ref="D21:E21"/>
    <mergeCell ref="D22:E22"/>
    <mergeCell ref="A20:B20"/>
    <mergeCell ref="A21:B21"/>
    <mergeCell ref="A22:B22"/>
    <mergeCell ref="G14:H14"/>
    <mergeCell ref="G15:H15"/>
    <mergeCell ref="G16:H16"/>
    <mergeCell ref="G17:H17"/>
    <mergeCell ref="G18:H18"/>
    <mergeCell ref="B13:C13"/>
    <mergeCell ref="E13:F13"/>
    <mergeCell ref="H13:I13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C10:D11"/>
    <mergeCell ref="E2:E3"/>
    <mergeCell ref="E4:E5"/>
    <mergeCell ref="E6:E7"/>
    <mergeCell ref="E8:E9"/>
    <mergeCell ref="E10:E11"/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1"/>
  <sheetViews>
    <sheetView zoomScalePageLayoutView="0" workbookViewId="0" topLeftCell="A1">
      <selection activeCell="A61" sqref="A61"/>
    </sheetView>
  </sheetViews>
  <sheetFormatPr defaultColWidth="11.421875" defaultRowHeight="12.75"/>
  <cols>
    <col min="1" max="1" width="2.8515625" style="0" customWidth="1"/>
    <col min="2" max="2" width="13.28125" style="0" customWidth="1"/>
    <col min="3" max="3" width="71.28125" style="0" customWidth="1"/>
    <col min="4" max="4" width="6.421875" style="0" customWidth="1"/>
    <col min="5" max="5" width="9.28125" style="0" customWidth="1"/>
    <col min="6" max="6" width="10.00390625" style="0" customWidth="1"/>
    <col min="7" max="8" width="11.8515625" style="0" customWidth="1"/>
    <col min="9" max="9" width="12.7109375" style="0" customWidth="1"/>
    <col min="10" max="10" width="6.7109375" style="0" customWidth="1"/>
    <col min="11" max="11" width="8.00390625" style="0" customWidth="1"/>
    <col min="12" max="12" width="11.421875" style="0" customWidth="1"/>
    <col min="13" max="36" width="12.140625" style="0" hidden="1" customWidth="1"/>
  </cols>
  <sheetData>
    <row r="1" spans="1:11" ht="21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ht="12.75">
      <c r="A2" s="48" t="s">
        <v>1</v>
      </c>
      <c r="B2" s="49"/>
      <c r="C2" s="55" t="s">
        <v>73</v>
      </c>
      <c r="D2" s="60" t="s">
        <v>116</v>
      </c>
      <c r="E2" s="49"/>
      <c r="F2" s="60"/>
      <c r="G2" s="49"/>
      <c r="H2" s="60" t="s">
        <v>133</v>
      </c>
      <c r="I2" s="60"/>
      <c r="J2" s="49"/>
      <c r="K2" s="89"/>
      <c r="L2" s="24"/>
    </row>
    <row r="3" spans="1:12" ht="12.75">
      <c r="A3" s="50"/>
      <c r="B3" s="51"/>
      <c r="C3" s="57"/>
      <c r="D3" s="51"/>
      <c r="E3" s="51"/>
      <c r="F3" s="51"/>
      <c r="G3" s="51"/>
      <c r="H3" s="51"/>
      <c r="I3" s="51"/>
      <c r="J3" s="51"/>
      <c r="K3" s="64"/>
      <c r="L3" s="24"/>
    </row>
    <row r="4" spans="1:12" ht="12.75">
      <c r="A4" s="52" t="s">
        <v>2</v>
      </c>
      <c r="B4" s="51"/>
      <c r="C4" s="58" t="s">
        <v>74</v>
      </c>
      <c r="D4" s="58" t="s">
        <v>117</v>
      </c>
      <c r="E4" s="51"/>
      <c r="F4" s="59">
        <v>42351</v>
      </c>
      <c r="G4" s="51"/>
      <c r="H4" s="58" t="s">
        <v>134</v>
      </c>
      <c r="I4" s="58" t="s">
        <v>138</v>
      </c>
      <c r="J4" s="51"/>
      <c r="K4" s="64"/>
      <c r="L4" s="24"/>
    </row>
    <row r="5" spans="1:12" ht="12.75">
      <c r="A5" s="50"/>
      <c r="B5" s="51"/>
      <c r="C5" s="51"/>
      <c r="D5" s="51"/>
      <c r="E5" s="51"/>
      <c r="F5" s="51"/>
      <c r="G5" s="51"/>
      <c r="H5" s="51"/>
      <c r="I5" s="51"/>
      <c r="J5" s="51"/>
      <c r="K5" s="64"/>
      <c r="L5" s="24"/>
    </row>
    <row r="6" spans="1:12" ht="12.75">
      <c r="A6" s="52" t="s">
        <v>3</v>
      </c>
      <c r="B6" s="51"/>
      <c r="C6" s="58" t="s">
        <v>75</v>
      </c>
      <c r="D6" s="58" t="s">
        <v>118</v>
      </c>
      <c r="E6" s="51"/>
      <c r="F6" s="51"/>
      <c r="G6" s="51"/>
      <c r="H6" s="58" t="s">
        <v>135</v>
      </c>
      <c r="I6" s="58"/>
      <c r="J6" s="51"/>
      <c r="K6" s="64"/>
      <c r="L6" s="24"/>
    </row>
    <row r="7" spans="1:12" ht="12.75">
      <c r="A7" s="50"/>
      <c r="B7" s="51"/>
      <c r="C7" s="51"/>
      <c r="D7" s="51"/>
      <c r="E7" s="51"/>
      <c r="F7" s="51"/>
      <c r="G7" s="51"/>
      <c r="H7" s="51"/>
      <c r="I7" s="51"/>
      <c r="J7" s="51"/>
      <c r="K7" s="64"/>
      <c r="L7" s="24"/>
    </row>
    <row r="8" spans="1:12" ht="12.75">
      <c r="A8" s="52" t="s">
        <v>194</v>
      </c>
      <c r="B8" s="51"/>
      <c r="C8" s="58" t="s">
        <v>193</v>
      </c>
      <c r="D8" s="58" t="s">
        <v>119</v>
      </c>
      <c r="E8" s="51"/>
      <c r="F8" s="59">
        <v>42351</v>
      </c>
      <c r="G8" s="51"/>
      <c r="H8" s="58" t="s">
        <v>136</v>
      </c>
      <c r="I8" s="58"/>
      <c r="J8" s="51"/>
      <c r="K8" s="64"/>
      <c r="L8" s="24"/>
    </row>
    <row r="9" spans="1:12" ht="12.75">
      <c r="A9" s="87"/>
      <c r="B9" s="88"/>
      <c r="C9" s="88"/>
      <c r="D9" s="88"/>
      <c r="E9" s="88"/>
      <c r="F9" s="88"/>
      <c r="G9" s="88"/>
      <c r="H9" s="88"/>
      <c r="I9" s="88"/>
      <c r="J9" s="88"/>
      <c r="K9" s="90"/>
      <c r="L9" s="24"/>
    </row>
    <row r="10" spans="1:12" ht="12.75">
      <c r="A10" s="1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17" t="s">
        <v>128</v>
      </c>
      <c r="G10" s="91" t="s">
        <v>130</v>
      </c>
      <c r="H10" s="92"/>
      <c r="I10" s="93"/>
      <c r="J10" s="91" t="s">
        <v>140</v>
      </c>
      <c r="K10" s="93"/>
      <c r="L10" s="25"/>
    </row>
    <row r="11" spans="1:23" ht="12.75">
      <c r="A11" s="2" t="s">
        <v>6</v>
      </c>
      <c r="B11" s="10" t="s">
        <v>35</v>
      </c>
      <c r="C11" s="10" t="s">
        <v>76</v>
      </c>
      <c r="D11" s="10" t="s">
        <v>120</v>
      </c>
      <c r="E11" s="13" t="s">
        <v>127</v>
      </c>
      <c r="F11" s="18" t="s">
        <v>129</v>
      </c>
      <c r="G11" s="19" t="s">
        <v>131</v>
      </c>
      <c r="H11" s="20" t="s">
        <v>137</v>
      </c>
      <c r="I11" s="21" t="s">
        <v>139</v>
      </c>
      <c r="J11" s="19" t="s">
        <v>128</v>
      </c>
      <c r="K11" s="21" t="s">
        <v>139</v>
      </c>
      <c r="L11" s="25"/>
      <c r="O11" s="23" t="s">
        <v>142</v>
      </c>
      <c r="P11" s="23" t="s">
        <v>143</v>
      </c>
      <c r="Q11" s="23" t="s">
        <v>147</v>
      </c>
      <c r="R11" s="23" t="s">
        <v>148</v>
      </c>
      <c r="S11" s="23" t="s">
        <v>149</v>
      </c>
      <c r="T11" s="23" t="s">
        <v>150</v>
      </c>
      <c r="U11" s="23" t="s">
        <v>151</v>
      </c>
      <c r="V11" s="23" t="s">
        <v>152</v>
      </c>
      <c r="W11" s="23" t="s">
        <v>153</v>
      </c>
    </row>
    <row r="12" spans="1:11" ht="12.75">
      <c r="A12" s="3"/>
      <c r="B12" s="11"/>
      <c r="C12" s="94" t="s">
        <v>77</v>
      </c>
      <c r="D12" s="95"/>
      <c r="E12" s="95"/>
      <c r="F12" s="95"/>
      <c r="G12" s="29">
        <f>G13+G15+G21+G23+G26+G29+G34+G42+G45+G51</f>
        <v>0</v>
      </c>
      <c r="H12" s="29">
        <f>H13+H15+H21+H23+H26+H29+H34+H42+H45+H51</f>
        <v>0</v>
      </c>
      <c r="I12" s="29">
        <f>G12+H12</f>
        <v>0</v>
      </c>
      <c r="J12" s="22"/>
      <c r="K12" s="29">
        <f>K13+K15+K21+K23+K26+K29+K34+K42+K45+K51</f>
        <v>50.5294695</v>
      </c>
    </row>
    <row r="13" spans="1:36" ht="12.75">
      <c r="A13" s="4"/>
      <c r="B13" s="12" t="s">
        <v>34</v>
      </c>
      <c r="C13" s="96" t="s">
        <v>78</v>
      </c>
      <c r="D13" s="97"/>
      <c r="E13" s="97"/>
      <c r="F13" s="97"/>
      <c r="G13" s="30">
        <f>SUM(G14:G14)</f>
        <v>0</v>
      </c>
      <c r="H13" s="30">
        <f>SUM(H14:H14)</f>
        <v>0</v>
      </c>
      <c r="I13" s="30">
        <f>G13+H13</f>
        <v>0</v>
      </c>
      <c r="J13" s="23"/>
      <c r="K13" s="30">
        <f>SUM(K14:K14)</f>
        <v>0.408215</v>
      </c>
      <c r="O13" s="30">
        <f>IF(P13="PR",I13,SUM(N14:N14))</f>
        <v>0</v>
      </c>
      <c r="P13" s="23" t="s">
        <v>144</v>
      </c>
      <c r="Q13" s="30">
        <f>IF(P13="HS",G13,0)</f>
        <v>0</v>
      </c>
      <c r="R13" s="30">
        <f>IF(P13="HS",H13-O13,0)</f>
        <v>0</v>
      </c>
      <c r="S13" s="30">
        <f>IF(P13="PS",G13,0)</f>
        <v>0</v>
      </c>
      <c r="T13" s="30">
        <f>IF(P13="PS",H13-O13,0)</f>
        <v>0</v>
      </c>
      <c r="U13" s="30">
        <f>IF(P13="MP",G13,0)</f>
        <v>0</v>
      </c>
      <c r="V13" s="30">
        <f>IF(P13="MP",H13-O13,0)</f>
        <v>0</v>
      </c>
      <c r="W13" s="30">
        <f>IF(P13="OM",G13,0)</f>
        <v>0</v>
      </c>
      <c r="X13" s="23"/>
      <c r="AH13" s="30">
        <f>SUM(Y14:Y14)</f>
        <v>0</v>
      </c>
      <c r="AI13" s="30">
        <f>SUM(Z14:Z14)</f>
        <v>0</v>
      </c>
      <c r="AJ13" s="30">
        <f>SUM(AA14:AA14)</f>
        <v>0</v>
      </c>
    </row>
    <row r="14" spans="1:31" ht="12.75">
      <c r="A14" s="5" t="s">
        <v>7</v>
      </c>
      <c r="B14" s="5" t="s">
        <v>36</v>
      </c>
      <c r="C14" s="5" t="s">
        <v>79</v>
      </c>
      <c r="D14" s="5" t="s">
        <v>121</v>
      </c>
      <c r="E14" s="14">
        <v>816.43</v>
      </c>
      <c r="F14" s="14">
        <v>0</v>
      </c>
      <c r="G14" s="14">
        <f>ROUND(E14*AD14,2)</f>
        <v>0</v>
      </c>
      <c r="H14" s="14">
        <f>I14-G14</f>
        <v>0</v>
      </c>
      <c r="I14" s="14">
        <f>ROUND(E14*F14,2)</f>
        <v>0</v>
      </c>
      <c r="J14" s="14">
        <v>0.0005</v>
      </c>
      <c r="K14" s="14">
        <f>E14*J14</f>
        <v>0.408215</v>
      </c>
      <c r="M14" s="26" t="s">
        <v>7</v>
      </c>
      <c r="N14" s="14">
        <f>IF(M14="5",H14,0)</f>
        <v>0</v>
      </c>
      <c r="Y14" s="14">
        <f>IF(AC14=0,I14,0)</f>
        <v>0</v>
      </c>
      <c r="Z14" s="14">
        <f>IF(AC14=15,I14,0)</f>
        <v>0</v>
      </c>
      <c r="AA14" s="14">
        <f>IF(AC14=21,I14,0)</f>
        <v>0</v>
      </c>
      <c r="AC14" s="28">
        <v>21</v>
      </c>
      <c r="AD14" s="28">
        <f>F14*0.343970588235294</f>
        <v>0</v>
      </c>
      <c r="AE14" s="28">
        <f>F14*(1-0.343970588235294)</f>
        <v>0</v>
      </c>
    </row>
    <row r="15" spans="1:36" ht="12.75">
      <c r="A15" s="4"/>
      <c r="B15" s="12" t="s">
        <v>37</v>
      </c>
      <c r="C15" s="96" t="s">
        <v>80</v>
      </c>
      <c r="D15" s="97"/>
      <c r="E15" s="97"/>
      <c r="F15" s="97"/>
      <c r="G15" s="30">
        <f>SUM(G16:G20)</f>
        <v>0</v>
      </c>
      <c r="H15" s="30">
        <f>SUM(H16:H20)</f>
        <v>0</v>
      </c>
      <c r="I15" s="30">
        <f>G15+H15</f>
        <v>0</v>
      </c>
      <c r="J15" s="23"/>
      <c r="K15" s="30">
        <f>SUM(K16:K20)</f>
        <v>16.401638000000002</v>
      </c>
      <c r="O15" s="30">
        <f>IF(P15="PR",I15,SUM(N16:N20))</f>
        <v>0</v>
      </c>
      <c r="P15" s="23" t="s">
        <v>144</v>
      </c>
      <c r="Q15" s="30">
        <f>IF(P15="HS",G15,0)</f>
        <v>0</v>
      </c>
      <c r="R15" s="30">
        <f>IF(P15="HS",H15-O15,0)</f>
        <v>0</v>
      </c>
      <c r="S15" s="30">
        <f>IF(P15="PS",G15,0)</f>
        <v>0</v>
      </c>
      <c r="T15" s="30">
        <f>IF(P15="PS",H15-O15,0)</f>
        <v>0</v>
      </c>
      <c r="U15" s="30">
        <f>IF(P15="MP",G15,0)</f>
        <v>0</v>
      </c>
      <c r="V15" s="30">
        <f>IF(P15="MP",H15-O15,0)</f>
        <v>0</v>
      </c>
      <c r="W15" s="30">
        <f>IF(P15="OM",G15,0)</f>
        <v>0</v>
      </c>
      <c r="X15" s="23"/>
      <c r="AH15" s="30">
        <f>SUM(Y16:Y20)</f>
        <v>0</v>
      </c>
      <c r="AI15" s="30">
        <f>SUM(Z16:Z20)</f>
        <v>0</v>
      </c>
      <c r="AJ15" s="30">
        <f>SUM(AA16:AA20)</f>
        <v>0</v>
      </c>
    </row>
    <row r="16" spans="1:31" ht="25.5">
      <c r="A16" s="5" t="s">
        <v>8</v>
      </c>
      <c r="B16" s="5" t="s">
        <v>38</v>
      </c>
      <c r="C16" s="45" t="s">
        <v>81</v>
      </c>
      <c r="D16" s="5" t="s">
        <v>121</v>
      </c>
      <c r="E16" s="14">
        <v>863.83</v>
      </c>
      <c r="F16" s="14">
        <v>0</v>
      </c>
      <c r="G16" s="14">
        <f>ROUND(E16*AD16,2)</f>
        <v>0</v>
      </c>
      <c r="H16" s="14">
        <f>I16-G16</f>
        <v>0</v>
      </c>
      <c r="I16" s="14">
        <f>ROUND(E16*F16,2)</f>
        <v>0</v>
      </c>
      <c r="J16" s="14">
        <v>0.0186</v>
      </c>
      <c r="K16" s="14">
        <f>E16*J16</f>
        <v>16.067238</v>
      </c>
      <c r="M16" s="26" t="s">
        <v>7</v>
      </c>
      <c r="N16" s="14">
        <f>IF(M16="5",H16,0)</f>
        <v>0</v>
      </c>
      <c r="Y16" s="14">
        <f>IF(AC16=0,I16,0)</f>
        <v>0</v>
      </c>
      <c r="Z16" s="14">
        <f>IF(AC16=15,I16,0)</f>
        <v>0</v>
      </c>
      <c r="AA16" s="14">
        <f>IF(AC16=21,I16,0)</f>
        <v>0</v>
      </c>
      <c r="AC16" s="28">
        <v>21</v>
      </c>
      <c r="AD16" s="28">
        <f>F16*0.437435008665511</f>
        <v>0</v>
      </c>
      <c r="AE16" s="28">
        <f>F16*(1-0.437435008665511)</f>
        <v>0</v>
      </c>
    </row>
    <row r="17" spans="1:31" ht="12.75">
      <c r="A17" s="5" t="s">
        <v>9</v>
      </c>
      <c r="B17" s="5" t="s">
        <v>39</v>
      </c>
      <c r="C17" s="45" t="s">
        <v>82</v>
      </c>
      <c r="D17" s="5" t="s">
        <v>122</v>
      </c>
      <c r="E17" s="14">
        <v>30</v>
      </c>
      <c r="F17" s="14">
        <v>0</v>
      </c>
      <c r="G17" s="14">
        <f>ROUND(E17*AD17,2)</f>
        <v>0</v>
      </c>
      <c r="H17" s="14">
        <f>I17-G17</f>
        <v>0</v>
      </c>
      <c r="I17" s="14">
        <f>ROUND(E17*F17,2)</f>
        <v>0</v>
      </c>
      <c r="J17" s="14">
        <v>0</v>
      </c>
      <c r="K17" s="14">
        <f>E17*J17</f>
        <v>0</v>
      </c>
      <c r="M17" s="26" t="s">
        <v>7</v>
      </c>
      <c r="N17" s="14">
        <f>IF(M17="5",H17,0)</f>
        <v>0</v>
      </c>
      <c r="Y17" s="14">
        <f>IF(AC17=0,I17,0)</f>
        <v>0</v>
      </c>
      <c r="Z17" s="14">
        <f>IF(AC17=15,I17,0)</f>
        <v>0</v>
      </c>
      <c r="AA17" s="14">
        <f>IF(AC17=21,I17,0)</f>
        <v>0</v>
      </c>
      <c r="AC17" s="28">
        <v>21</v>
      </c>
      <c r="AD17" s="28">
        <f>F17*0</f>
        <v>0</v>
      </c>
      <c r="AE17" s="28">
        <f>F17*(1-0)</f>
        <v>0</v>
      </c>
    </row>
    <row r="18" spans="1:31" ht="12.75">
      <c r="A18" s="5" t="s">
        <v>10</v>
      </c>
      <c r="B18" s="5" t="s">
        <v>40</v>
      </c>
      <c r="C18" s="45" t="s">
        <v>83</v>
      </c>
      <c r="D18" s="5" t="s">
        <v>122</v>
      </c>
      <c r="E18" s="14">
        <v>24</v>
      </c>
      <c r="F18" s="14">
        <v>0</v>
      </c>
      <c r="G18" s="14">
        <f>ROUND(E18*AD18,2)</f>
        <v>0</v>
      </c>
      <c r="H18" s="14">
        <f>I18-G18</f>
        <v>0</v>
      </c>
      <c r="I18" s="14">
        <f>ROUND(E18*F18,2)</f>
        <v>0</v>
      </c>
      <c r="J18" s="14">
        <v>0</v>
      </c>
      <c r="K18" s="14">
        <f>E18*J18</f>
        <v>0</v>
      </c>
      <c r="M18" s="26" t="s">
        <v>7</v>
      </c>
      <c r="N18" s="14">
        <f>IF(M18="5",H18,0)</f>
        <v>0</v>
      </c>
      <c r="Y18" s="14">
        <f>IF(AC18=0,I18,0)</f>
        <v>0</v>
      </c>
      <c r="Z18" s="14">
        <f>IF(AC18=15,I18,0)</f>
        <v>0</v>
      </c>
      <c r="AA18" s="14">
        <f>IF(AC18=21,I18,0)</f>
        <v>0</v>
      </c>
      <c r="AC18" s="28">
        <v>21</v>
      </c>
      <c r="AD18" s="28">
        <f>F18*0</f>
        <v>0</v>
      </c>
      <c r="AE18" s="28">
        <f>F18*(1-0)</f>
        <v>0</v>
      </c>
    </row>
    <row r="19" spans="1:31" ht="25.5">
      <c r="A19" s="6" t="s">
        <v>11</v>
      </c>
      <c r="B19" s="6" t="s">
        <v>41</v>
      </c>
      <c r="C19" s="45" t="s">
        <v>84</v>
      </c>
      <c r="D19" s="6" t="s">
        <v>123</v>
      </c>
      <c r="E19" s="15">
        <v>235.9</v>
      </c>
      <c r="F19" s="15">
        <v>0</v>
      </c>
      <c r="G19" s="15">
        <f>ROUND(E19*AD19,2)</f>
        <v>0</v>
      </c>
      <c r="H19" s="15">
        <f>I19-G19</f>
        <v>0</v>
      </c>
      <c r="I19" s="15">
        <f>ROUND(E19*F19,2)</f>
        <v>0</v>
      </c>
      <c r="J19" s="15">
        <v>0.0002</v>
      </c>
      <c r="K19" s="15">
        <f>E19*J19</f>
        <v>0.04718000000000001</v>
      </c>
      <c r="M19" s="27" t="s">
        <v>141</v>
      </c>
      <c r="N19" s="15">
        <f>IF(M19="5",H19,0)</f>
        <v>0</v>
      </c>
      <c r="Y19" s="15">
        <f>IF(AC19=0,I19,0)</f>
        <v>0</v>
      </c>
      <c r="Z19" s="15">
        <f>IF(AC19=15,I19,0)</f>
        <v>0</v>
      </c>
      <c r="AA19" s="15">
        <f>IF(AC19=21,I19,0)</f>
        <v>0</v>
      </c>
      <c r="AC19" s="28">
        <v>21</v>
      </c>
      <c r="AD19" s="28">
        <f>F19*1</f>
        <v>0</v>
      </c>
      <c r="AE19" s="28">
        <f>F19*(1-1)</f>
        <v>0</v>
      </c>
    </row>
    <row r="20" spans="1:31" ht="12.75">
      <c r="A20" s="5" t="s">
        <v>12</v>
      </c>
      <c r="B20" s="5" t="s">
        <v>42</v>
      </c>
      <c r="C20" s="45" t="s">
        <v>85</v>
      </c>
      <c r="D20" s="5" t="s">
        <v>122</v>
      </c>
      <c r="E20" s="14">
        <v>6</v>
      </c>
      <c r="F20" s="14">
        <v>0</v>
      </c>
      <c r="G20" s="14">
        <f>ROUND(E20*AD20,2)</f>
        <v>0</v>
      </c>
      <c r="H20" s="14">
        <f>I20-G20</f>
        <v>0</v>
      </c>
      <c r="I20" s="14">
        <f>ROUND(E20*F20,2)</f>
        <v>0</v>
      </c>
      <c r="J20" s="14">
        <v>0.04787</v>
      </c>
      <c r="K20" s="14">
        <f>E20*J20</f>
        <v>0.28722000000000003</v>
      </c>
      <c r="M20" s="26" t="s">
        <v>7</v>
      </c>
      <c r="N20" s="14">
        <f>IF(M20="5",H20,0)</f>
        <v>0</v>
      </c>
      <c r="Y20" s="14">
        <f>IF(AC20=0,I20,0)</f>
        <v>0</v>
      </c>
      <c r="Z20" s="14">
        <f>IF(AC20=15,I20,0)</f>
        <v>0</v>
      </c>
      <c r="AA20" s="14">
        <f>IF(AC20=21,I20,0)</f>
        <v>0</v>
      </c>
      <c r="AC20" s="28">
        <v>21</v>
      </c>
      <c r="AD20" s="28">
        <f>F20*0.481379901435612</f>
        <v>0</v>
      </c>
      <c r="AE20" s="28">
        <f>F20*(1-0.481379901435612)</f>
        <v>0</v>
      </c>
    </row>
    <row r="21" spans="1:36" ht="12.75">
      <c r="A21" s="4"/>
      <c r="B21" s="12" t="s">
        <v>43</v>
      </c>
      <c r="C21" s="96" t="s">
        <v>86</v>
      </c>
      <c r="D21" s="97"/>
      <c r="E21" s="97"/>
      <c r="F21" s="97"/>
      <c r="G21" s="30">
        <f>SUM(G22:G22)</f>
        <v>0</v>
      </c>
      <c r="H21" s="30">
        <f>SUM(H22:H22)</f>
        <v>0</v>
      </c>
      <c r="I21" s="30">
        <f>G21+H21</f>
        <v>0</v>
      </c>
      <c r="J21" s="23"/>
      <c r="K21" s="30">
        <f>SUM(K22:K22)</f>
        <v>0.06465</v>
      </c>
      <c r="O21" s="30">
        <f>IF(P21="PR",I21,SUM(N22:N22))</f>
        <v>0</v>
      </c>
      <c r="P21" s="23" t="s">
        <v>144</v>
      </c>
      <c r="Q21" s="30">
        <f>IF(P21="HS",G21,0)</f>
        <v>0</v>
      </c>
      <c r="R21" s="30">
        <f>IF(P21="HS",H21-O21,0)</f>
        <v>0</v>
      </c>
      <c r="S21" s="30">
        <f>IF(P21="PS",G21,0)</f>
        <v>0</v>
      </c>
      <c r="T21" s="30">
        <f>IF(P21="PS",H21-O21,0)</f>
        <v>0</v>
      </c>
      <c r="U21" s="30">
        <f>IF(P21="MP",G21,0)</f>
        <v>0</v>
      </c>
      <c r="V21" s="30">
        <f>IF(P21="MP",H21-O21,0)</f>
        <v>0</v>
      </c>
      <c r="W21" s="30">
        <f>IF(P21="OM",G21,0)</f>
        <v>0</v>
      </c>
      <c r="X21" s="23"/>
      <c r="AH21" s="30">
        <f>SUM(Y22:Y22)</f>
        <v>0</v>
      </c>
      <c r="AI21" s="30">
        <f>SUM(Z22:Z22)</f>
        <v>0</v>
      </c>
      <c r="AJ21" s="30">
        <f>SUM(AA22:AA22)</f>
        <v>0</v>
      </c>
    </row>
    <row r="22" spans="1:31" ht="12.75">
      <c r="A22" s="5" t="s">
        <v>13</v>
      </c>
      <c r="B22" s="5" t="s">
        <v>44</v>
      </c>
      <c r="C22" s="5" t="s">
        <v>87</v>
      </c>
      <c r="D22" s="5" t="s">
        <v>123</v>
      </c>
      <c r="E22" s="14">
        <v>15</v>
      </c>
      <c r="F22" s="14">
        <v>0</v>
      </c>
      <c r="G22" s="14">
        <f>ROUND(E22*AD22,2)</f>
        <v>0</v>
      </c>
      <c r="H22" s="14">
        <f>I22-G22</f>
        <v>0</v>
      </c>
      <c r="I22" s="14">
        <f>ROUND(E22*F22,2)</f>
        <v>0</v>
      </c>
      <c r="J22" s="14">
        <v>0.00431</v>
      </c>
      <c r="K22" s="14">
        <f>E22*J22</f>
        <v>0.06465</v>
      </c>
      <c r="M22" s="26" t="s">
        <v>9</v>
      </c>
      <c r="N22" s="14">
        <f>IF(M22="5",H22,0)</f>
        <v>0</v>
      </c>
      <c r="Y22" s="14">
        <f>IF(AC22=0,I22,0)</f>
        <v>0</v>
      </c>
      <c r="Z22" s="14">
        <f>IF(AC22=15,I22,0)</f>
        <v>0</v>
      </c>
      <c r="AA22" s="14">
        <f>IF(AC22=21,I22,0)</f>
        <v>0</v>
      </c>
      <c r="AC22" s="28">
        <v>21</v>
      </c>
      <c r="AD22" s="28">
        <f>F22*0.0675775480059084</f>
        <v>0</v>
      </c>
      <c r="AE22" s="28">
        <f>F22*(1-0.0675775480059084)</f>
        <v>0</v>
      </c>
    </row>
    <row r="23" spans="1:36" ht="12.75">
      <c r="A23" s="4"/>
      <c r="B23" s="12" t="s">
        <v>45</v>
      </c>
      <c r="C23" s="96" t="s">
        <v>88</v>
      </c>
      <c r="D23" s="97"/>
      <c r="E23" s="97"/>
      <c r="F23" s="97"/>
      <c r="G23" s="30">
        <f>SUM(G24:G25)</f>
        <v>0</v>
      </c>
      <c r="H23" s="30">
        <f>SUM(H24:H25)</f>
        <v>0</v>
      </c>
      <c r="I23" s="30">
        <f>G23+H23</f>
        <v>0</v>
      </c>
      <c r="J23" s="23"/>
      <c r="K23" s="30">
        <f>SUM(K24:K25)</f>
        <v>28.2040495</v>
      </c>
      <c r="O23" s="30">
        <f>IF(P23="PR",I23,SUM(N24:N25))</f>
        <v>0</v>
      </c>
      <c r="P23" s="23" t="s">
        <v>145</v>
      </c>
      <c r="Q23" s="30">
        <f>IF(P23="HS",G23,0)</f>
        <v>0</v>
      </c>
      <c r="R23" s="30">
        <f>IF(P23="HS",H23-O23,0)</f>
        <v>0</v>
      </c>
      <c r="S23" s="30">
        <f>IF(P23="PS",G23,0)</f>
        <v>0</v>
      </c>
      <c r="T23" s="30">
        <f>IF(P23="PS",H23-O23,0)</f>
        <v>0</v>
      </c>
      <c r="U23" s="30">
        <f>IF(P23="MP",G23,0)</f>
        <v>0</v>
      </c>
      <c r="V23" s="30">
        <f>IF(P23="MP",H23-O23,0)</f>
        <v>0</v>
      </c>
      <c r="W23" s="30">
        <f>IF(P23="OM",G23,0)</f>
        <v>0</v>
      </c>
      <c r="X23" s="23"/>
      <c r="AH23" s="30">
        <f>SUM(Y24:Y25)</f>
        <v>0</v>
      </c>
      <c r="AI23" s="30">
        <f>SUM(Z24:Z25)</f>
        <v>0</v>
      </c>
      <c r="AJ23" s="30">
        <f>SUM(AA24:AA25)</f>
        <v>0</v>
      </c>
    </row>
    <row r="24" spans="1:31" ht="12.75">
      <c r="A24" s="5" t="s">
        <v>14</v>
      </c>
      <c r="B24" s="5" t="s">
        <v>46</v>
      </c>
      <c r="C24" s="5" t="s">
        <v>89</v>
      </c>
      <c r="D24" s="5" t="s">
        <v>121</v>
      </c>
      <c r="E24" s="14">
        <v>863.83</v>
      </c>
      <c r="F24" s="14">
        <v>0</v>
      </c>
      <c r="G24" s="14">
        <f>ROUND(E24*AD24,2)</f>
        <v>0</v>
      </c>
      <c r="H24" s="14">
        <f>I24-G24</f>
        <v>0</v>
      </c>
      <c r="I24" s="14">
        <f>ROUND(E24*F24,2)</f>
        <v>0</v>
      </c>
      <c r="J24" s="14">
        <v>0.008</v>
      </c>
      <c r="K24" s="14">
        <f>E24*J24</f>
        <v>6.910640000000001</v>
      </c>
      <c r="M24" s="26" t="s">
        <v>7</v>
      </c>
      <c r="N24" s="14">
        <f>IF(M24="5",H24,0)</f>
        <v>0</v>
      </c>
      <c r="Y24" s="14">
        <f>IF(AC24=0,I24,0)</f>
        <v>0</v>
      </c>
      <c r="Z24" s="14">
        <f>IF(AC24=15,I24,0)</f>
        <v>0</v>
      </c>
      <c r="AA24" s="14">
        <f>IF(AC24=21,I24,0)</f>
        <v>0</v>
      </c>
      <c r="AC24" s="28">
        <v>21</v>
      </c>
      <c r="AD24" s="28">
        <f>F24*0</f>
        <v>0</v>
      </c>
      <c r="AE24" s="28">
        <f>F24*(1-0)</f>
        <v>0</v>
      </c>
    </row>
    <row r="25" spans="1:31" ht="12.75">
      <c r="A25" s="5" t="s">
        <v>15</v>
      </c>
      <c r="B25" s="5" t="s">
        <v>47</v>
      </c>
      <c r="C25" s="5" t="s">
        <v>90</v>
      </c>
      <c r="D25" s="5" t="s">
        <v>121</v>
      </c>
      <c r="E25" s="14">
        <v>863.83</v>
      </c>
      <c r="F25" s="14">
        <v>0</v>
      </c>
      <c r="G25" s="14">
        <f>ROUND(E25*AD25,2)</f>
        <v>0</v>
      </c>
      <c r="H25" s="14">
        <f>I25-G25</f>
        <v>0</v>
      </c>
      <c r="I25" s="14">
        <f>ROUND(E25*F25,2)</f>
        <v>0</v>
      </c>
      <c r="J25" s="14">
        <v>0.02465</v>
      </c>
      <c r="K25" s="14">
        <f>E25*J25</f>
        <v>21.2934095</v>
      </c>
      <c r="M25" s="26" t="s">
        <v>7</v>
      </c>
      <c r="N25" s="14">
        <f>IF(M25="5",H25,0)</f>
        <v>0</v>
      </c>
      <c r="Y25" s="14">
        <f>IF(AC25=0,I25,0)</f>
        <v>0</v>
      </c>
      <c r="Z25" s="14">
        <f>IF(AC25=15,I25,0)</f>
        <v>0</v>
      </c>
      <c r="AA25" s="14">
        <f>IF(AC25=21,I25,0)</f>
        <v>0</v>
      </c>
      <c r="AC25" s="28">
        <v>21</v>
      </c>
      <c r="AD25" s="28">
        <f>F25*0</f>
        <v>0</v>
      </c>
      <c r="AE25" s="28">
        <f>F25*(1-0)</f>
        <v>0</v>
      </c>
    </row>
    <row r="26" spans="1:36" ht="12.75">
      <c r="A26" s="4"/>
      <c r="B26" s="12" t="s">
        <v>48</v>
      </c>
      <c r="C26" s="96" t="s">
        <v>91</v>
      </c>
      <c r="D26" s="97"/>
      <c r="E26" s="97"/>
      <c r="F26" s="97"/>
      <c r="G26" s="30">
        <f>SUM(G27:G28)</f>
        <v>0</v>
      </c>
      <c r="H26" s="30">
        <f>SUM(H27:H28)</f>
        <v>0</v>
      </c>
      <c r="I26" s="30">
        <f>G26+H26</f>
        <v>0</v>
      </c>
      <c r="J26" s="23"/>
      <c r="K26" s="30">
        <f>SUM(K27:K28)</f>
        <v>0.2937022</v>
      </c>
      <c r="O26" s="30">
        <f>IF(P26="PR",I26,SUM(N27:N28))</f>
        <v>0</v>
      </c>
      <c r="P26" s="23" t="s">
        <v>145</v>
      </c>
      <c r="Q26" s="30">
        <f>IF(P26="HS",G26,0)</f>
        <v>0</v>
      </c>
      <c r="R26" s="30">
        <f>IF(P26="HS",H26-O26,0)</f>
        <v>0</v>
      </c>
      <c r="S26" s="30">
        <f>IF(P26="PS",G26,0)</f>
        <v>0</v>
      </c>
      <c r="T26" s="30">
        <f>IF(P26="PS",H26-O26,0)</f>
        <v>0</v>
      </c>
      <c r="U26" s="30">
        <f>IF(P26="MP",G26,0)</f>
        <v>0</v>
      </c>
      <c r="V26" s="30">
        <f>IF(P26="MP",H26-O26,0)</f>
        <v>0</v>
      </c>
      <c r="W26" s="30">
        <f>IF(P26="OM",G26,0)</f>
        <v>0</v>
      </c>
      <c r="X26" s="23"/>
      <c r="AH26" s="30">
        <f>SUM(Y27:Y28)</f>
        <v>0</v>
      </c>
      <c r="AI26" s="30">
        <f>SUM(Z27:Z28)</f>
        <v>0</v>
      </c>
      <c r="AJ26" s="30">
        <f>SUM(AA27:AA28)</f>
        <v>0</v>
      </c>
    </row>
    <row r="27" spans="1:31" ht="12.75">
      <c r="A27" s="5" t="s">
        <v>16</v>
      </c>
      <c r="B27" s="5" t="s">
        <v>49</v>
      </c>
      <c r="C27" s="5" t="s">
        <v>92</v>
      </c>
      <c r="D27" s="5" t="s">
        <v>121</v>
      </c>
      <c r="E27" s="14">
        <v>863.83</v>
      </c>
      <c r="F27" s="14">
        <v>0</v>
      </c>
      <c r="G27" s="14">
        <f>ROUND(E27*AD27,2)</f>
        <v>0</v>
      </c>
      <c r="H27" s="14">
        <f>I27-G27</f>
        <v>0</v>
      </c>
      <c r="I27" s="14">
        <f>ROUND(E27*F27,2)</f>
        <v>0</v>
      </c>
      <c r="J27" s="14">
        <v>0.0002</v>
      </c>
      <c r="K27" s="14">
        <f>E27*J27</f>
        <v>0.172766</v>
      </c>
      <c r="M27" s="26" t="s">
        <v>7</v>
      </c>
      <c r="N27" s="14">
        <f>IF(M27="5",H27,0)</f>
        <v>0</v>
      </c>
      <c r="Y27" s="14">
        <f>IF(AC27=0,I27,0)</f>
        <v>0</v>
      </c>
      <c r="Z27" s="14">
        <f>IF(AC27=15,I27,0)</f>
        <v>0</v>
      </c>
      <c r="AA27" s="14">
        <f>IF(AC27=21,I27,0)</f>
        <v>0</v>
      </c>
      <c r="AC27" s="28">
        <v>21</v>
      </c>
      <c r="AD27" s="28">
        <f>F27*0.468904788112273</f>
        <v>0</v>
      </c>
      <c r="AE27" s="28">
        <f>F27*(1-0.468904788112273)</f>
        <v>0</v>
      </c>
    </row>
    <row r="28" spans="1:31" ht="12.75">
      <c r="A28" s="5" t="s">
        <v>17</v>
      </c>
      <c r="B28" s="5" t="s">
        <v>50</v>
      </c>
      <c r="C28" s="5" t="s">
        <v>93</v>
      </c>
      <c r="D28" s="5" t="s">
        <v>121</v>
      </c>
      <c r="E28" s="14">
        <v>863.83</v>
      </c>
      <c r="F28" s="14">
        <v>0</v>
      </c>
      <c r="G28" s="14">
        <f>ROUND(E28*AD28,2)</f>
        <v>0</v>
      </c>
      <c r="H28" s="14">
        <f>I28-G28</f>
        <v>0</v>
      </c>
      <c r="I28" s="14">
        <f>ROUND(E28*F28,2)</f>
        <v>0</v>
      </c>
      <c r="J28" s="14">
        <v>0.00014</v>
      </c>
      <c r="K28" s="14">
        <f>E28*J28</f>
        <v>0.1209362</v>
      </c>
      <c r="M28" s="26" t="s">
        <v>7</v>
      </c>
      <c r="N28" s="14">
        <f>IF(M28="5",H28,0)</f>
        <v>0</v>
      </c>
      <c r="Y28" s="14">
        <f>IF(AC28=0,I28,0)</f>
        <v>0</v>
      </c>
      <c r="Z28" s="14">
        <f>IF(AC28=15,I28,0)</f>
        <v>0</v>
      </c>
      <c r="AA28" s="14">
        <f>IF(AC28=21,I28,0)</f>
        <v>0</v>
      </c>
      <c r="AC28" s="28">
        <v>21</v>
      </c>
      <c r="AD28" s="28">
        <f>F28*0.072041692213366</f>
        <v>0</v>
      </c>
      <c r="AE28" s="28">
        <f>F28*(1-0.072041692213366)</f>
        <v>0</v>
      </c>
    </row>
    <row r="29" spans="1:36" ht="12.75">
      <c r="A29" s="4"/>
      <c r="B29" s="12" t="s">
        <v>51</v>
      </c>
      <c r="C29" s="96" t="s">
        <v>94</v>
      </c>
      <c r="D29" s="97"/>
      <c r="E29" s="97"/>
      <c r="F29" s="97"/>
      <c r="G29" s="30">
        <f>SUM(G30:G33)</f>
        <v>0</v>
      </c>
      <c r="H29" s="30">
        <f>SUM(H30:H33)</f>
        <v>0</v>
      </c>
      <c r="I29" s="30">
        <f>G29+H29</f>
        <v>0</v>
      </c>
      <c r="J29" s="23"/>
      <c r="K29" s="30">
        <f>SUM(K30:K33)</f>
        <v>3.5758576</v>
      </c>
      <c r="O29" s="30">
        <f>IF(P29="PR",I29,SUM(N30:N33))</f>
        <v>0</v>
      </c>
      <c r="P29" s="23" t="s">
        <v>144</v>
      </c>
      <c r="Q29" s="30">
        <f>IF(P29="HS",G29,0)</f>
        <v>0</v>
      </c>
      <c r="R29" s="30">
        <f>IF(P29="HS",H29-O29,0)</f>
        <v>0</v>
      </c>
      <c r="S29" s="30">
        <f>IF(P29="PS",G29,0)</f>
        <v>0</v>
      </c>
      <c r="T29" s="30">
        <f>IF(P29="PS",H29-O29,0)</f>
        <v>0</v>
      </c>
      <c r="U29" s="30">
        <f>IF(P29="MP",G29,0)</f>
        <v>0</v>
      </c>
      <c r="V29" s="30">
        <f>IF(P29="MP",H29-O29,0)</f>
        <v>0</v>
      </c>
      <c r="W29" s="30">
        <f>IF(P29="OM",G29,0)</f>
        <v>0</v>
      </c>
      <c r="X29" s="23"/>
      <c r="AH29" s="30">
        <f>SUM(Y30:Y33)</f>
        <v>0</v>
      </c>
      <c r="AI29" s="30">
        <f>SUM(Z30:Z33)</f>
        <v>0</v>
      </c>
      <c r="AJ29" s="30">
        <f>SUM(AA30:AA33)</f>
        <v>0</v>
      </c>
    </row>
    <row r="30" spans="1:31" ht="12.75">
      <c r="A30" s="5" t="s">
        <v>18</v>
      </c>
      <c r="B30" s="5" t="s">
        <v>52</v>
      </c>
      <c r="C30" s="5" t="s">
        <v>95</v>
      </c>
      <c r="D30" s="5" t="s">
        <v>124</v>
      </c>
      <c r="E30" s="14">
        <v>2</v>
      </c>
      <c r="F30" s="14">
        <v>0</v>
      </c>
      <c r="G30" s="14">
        <f>ROUND(E30*AD30,2)</f>
        <v>0</v>
      </c>
      <c r="H30" s="14">
        <f>I30-G30</f>
        <v>0</v>
      </c>
      <c r="I30" s="14">
        <f>ROUND(E30*F30,2)</f>
        <v>0</v>
      </c>
      <c r="J30" s="14">
        <v>0</v>
      </c>
      <c r="K30" s="14">
        <f>E30*J30</f>
        <v>0</v>
      </c>
      <c r="M30" s="26" t="s">
        <v>7</v>
      </c>
      <c r="N30" s="14">
        <f>IF(M30="5",H30,0)</f>
        <v>0</v>
      </c>
      <c r="Y30" s="14">
        <f>IF(AC30=0,I30,0)</f>
        <v>0</v>
      </c>
      <c r="Z30" s="14">
        <f>IF(AC30=15,I30,0)</f>
        <v>0</v>
      </c>
      <c r="AA30" s="14">
        <f>IF(AC30=21,I30,0)</f>
        <v>0</v>
      </c>
      <c r="AC30" s="28">
        <v>21</v>
      </c>
      <c r="AD30" s="28">
        <f>F30*0</f>
        <v>0</v>
      </c>
      <c r="AE30" s="28">
        <f>F30*(1-0)</f>
        <v>0</v>
      </c>
    </row>
    <row r="31" spans="1:31" ht="12.75">
      <c r="A31" s="5" t="s">
        <v>19</v>
      </c>
      <c r="B31" s="5" t="s">
        <v>53</v>
      </c>
      <c r="C31" s="5" t="s">
        <v>96</v>
      </c>
      <c r="D31" s="5" t="s">
        <v>125</v>
      </c>
      <c r="E31" s="14">
        <v>60</v>
      </c>
      <c r="F31" s="14">
        <v>0</v>
      </c>
      <c r="G31" s="14">
        <f>ROUND(E31*AD31,2)</f>
        <v>0</v>
      </c>
      <c r="H31" s="14">
        <f>I31-G31</f>
        <v>0</v>
      </c>
      <c r="I31" s="14">
        <f>ROUND(E31*F31,2)</f>
        <v>0</v>
      </c>
      <c r="J31" s="14">
        <v>0</v>
      </c>
      <c r="K31" s="14">
        <f>E31*J31</f>
        <v>0</v>
      </c>
      <c r="M31" s="26" t="s">
        <v>7</v>
      </c>
      <c r="N31" s="14">
        <f>IF(M31="5",H31,0)</f>
        <v>0</v>
      </c>
      <c r="Y31" s="14">
        <f>IF(AC31=0,I31,0)</f>
        <v>0</v>
      </c>
      <c r="Z31" s="14">
        <f>IF(AC31=15,I31,0)</f>
        <v>0</v>
      </c>
      <c r="AA31" s="14">
        <f>IF(AC31=21,I31,0)</f>
        <v>0</v>
      </c>
      <c r="AC31" s="28">
        <v>21</v>
      </c>
      <c r="AD31" s="28">
        <f>F31*0</f>
        <v>0</v>
      </c>
      <c r="AE31" s="28">
        <f>F31*(1-0)</f>
        <v>0</v>
      </c>
    </row>
    <row r="32" spans="1:31" ht="12.75">
      <c r="A32" s="5" t="s">
        <v>20</v>
      </c>
      <c r="B32" s="5" t="s">
        <v>54</v>
      </c>
      <c r="C32" s="5" t="s">
        <v>97</v>
      </c>
      <c r="D32" s="5" t="s">
        <v>124</v>
      </c>
      <c r="E32" s="14">
        <v>2</v>
      </c>
      <c r="F32" s="14">
        <v>0</v>
      </c>
      <c r="G32" s="14">
        <f>ROUND(E32*AD32,2)</f>
        <v>0</v>
      </c>
      <c r="H32" s="14">
        <f>I32-G32</f>
        <v>0</v>
      </c>
      <c r="I32" s="14">
        <f>ROUND(E32*F32,2)</f>
        <v>0</v>
      </c>
      <c r="J32" s="14">
        <v>0</v>
      </c>
      <c r="K32" s="14">
        <f>E32*J32</f>
        <v>0</v>
      </c>
      <c r="M32" s="26" t="s">
        <v>7</v>
      </c>
      <c r="N32" s="14">
        <f>IF(M32="5",H32,0)</f>
        <v>0</v>
      </c>
      <c r="Y32" s="14">
        <f>IF(AC32=0,I32,0)</f>
        <v>0</v>
      </c>
      <c r="Z32" s="14">
        <f>IF(AC32=15,I32,0)</f>
        <v>0</v>
      </c>
      <c r="AA32" s="14">
        <f>IF(AC32=21,I32,0)</f>
        <v>0</v>
      </c>
      <c r="AC32" s="28">
        <v>21</v>
      </c>
      <c r="AD32" s="28">
        <f>F32*0</f>
        <v>0</v>
      </c>
      <c r="AE32" s="28">
        <f>F32*(1-0)</f>
        <v>0</v>
      </c>
    </row>
    <row r="33" spans="1:31" ht="12.75">
      <c r="A33" s="5" t="s">
        <v>21</v>
      </c>
      <c r="B33" s="5" t="s">
        <v>55</v>
      </c>
      <c r="C33" s="5" t="s">
        <v>98</v>
      </c>
      <c r="D33" s="5" t="s">
        <v>121</v>
      </c>
      <c r="E33" s="14">
        <v>604.03</v>
      </c>
      <c r="F33" s="14">
        <v>0</v>
      </c>
      <c r="G33" s="14">
        <f>ROUND(E33*AD33,2)</f>
        <v>0</v>
      </c>
      <c r="H33" s="14">
        <f>I33-G33</f>
        <v>0</v>
      </c>
      <c r="I33" s="14">
        <f>ROUND(E33*F33,2)</f>
        <v>0</v>
      </c>
      <c r="J33" s="14">
        <v>0.00592</v>
      </c>
      <c r="K33" s="14">
        <f>E33*J33</f>
        <v>3.5758576</v>
      </c>
      <c r="M33" s="26" t="s">
        <v>7</v>
      </c>
      <c r="N33" s="14">
        <f>IF(M33="5",H33,0)</f>
        <v>0</v>
      </c>
      <c r="Y33" s="14">
        <f>IF(AC33=0,I33,0)</f>
        <v>0</v>
      </c>
      <c r="Z33" s="14">
        <f>IF(AC33=15,I33,0)</f>
        <v>0</v>
      </c>
      <c r="AA33" s="14">
        <f>IF(AC33=21,I33,0)</f>
        <v>0</v>
      </c>
      <c r="AC33" s="28">
        <v>21</v>
      </c>
      <c r="AD33" s="28">
        <f>F33*0.5172</f>
        <v>0</v>
      </c>
      <c r="AE33" s="28">
        <f>F33*(1-0.5172)</f>
        <v>0</v>
      </c>
    </row>
    <row r="34" spans="1:36" ht="12.75">
      <c r="A34" s="4"/>
      <c r="B34" s="12" t="s">
        <v>56</v>
      </c>
      <c r="C34" s="96" t="s">
        <v>99</v>
      </c>
      <c r="D34" s="97"/>
      <c r="E34" s="97"/>
      <c r="F34" s="97"/>
      <c r="G34" s="30">
        <f>SUM(G35:G41)</f>
        <v>0</v>
      </c>
      <c r="H34" s="30">
        <f>SUM(H35:H41)</f>
        <v>0</v>
      </c>
      <c r="I34" s="30">
        <f>G34+H34</f>
        <v>0</v>
      </c>
      <c r="J34" s="23"/>
      <c r="K34" s="30">
        <f>SUM(K35:K41)</f>
        <v>0.6765572</v>
      </c>
      <c r="O34" s="30">
        <f>IF(P34="PR",I34,SUM(N35:N35))</f>
        <v>0</v>
      </c>
      <c r="P34" s="23" t="s">
        <v>144</v>
      </c>
      <c r="Q34" s="30">
        <f>IF(P34="HS",G34,0)</f>
        <v>0</v>
      </c>
      <c r="R34" s="30">
        <f>IF(P34="HS",H34-O34,0)</f>
        <v>0</v>
      </c>
      <c r="S34" s="30">
        <f>IF(P34="PS",G34,0)</f>
        <v>0</v>
      </c>
      <c r="T34" s="30">
        <f>IF(P34="PS",H34-O34,0)</f>
        <v>0</v>
      </c>
      <c r="U34" s="30">
        <f>IF(P34="MP",G34,0)</f>
        <v>0</v>
      </c>
      <c r="V34" s="30">
        <f>IF(P34="MP",H34-O34,0)</f>
        <v>0</v>
      </c>
      <c r="W34" s="30">
        <f>IF(P34="OM",G34,0)</f>
        <v>0</v>
      </c>
      <c r="X34" s="23"/>
      <c r="AH34" s="30">
        <f>SUM(Y35:Y35)</f>
        <v>0</v>
      </c>
      <c r="AI34" s="30">
        <f>SUM(Z35:Z35)</f>
        <v>0</v>
      </c>
      <c r="AJ34" s="30">
        <f>SUM(AA35:AA35)</f>
        <v>0</v>
      </c>
    </row>
    <row r="35" spans="1:31" ht="12.75">
      <c r="A35" s="5" t="s">
        <v>22</v>
      </c>
      <c r="B35" s="5" t="s">
        <v>57</v>
      </c>
      <c r="C35" s="5" t="s">
        <v>100</v>
      </c>
      <c r="D35" s="5" t="s">
        <v>121</v>
      </c>
      <c r="E35" s="14">
        <v>816.43</v>
      </c>
      <c r="F35" s="14">
        <v>0</v>
      </c>
      <c r="G35" s="14">
        <f>ROUND(E35*AD35,2)</f>
        <v>0</v>
      </c>
      <c r="H35" s="14">
        <f>I35-G35</f>
        <v>0</v>
      </c>
      <c r="I35" s="14">
        <f>ROUND(E35*F35,2)</f>
        <v>0</v>
      </c>
      <c r="J35" s="14">
        <v>4E-05</v>
      </c>
      <c r="K35" s="14">
        <f>E35*J35</f>
        <v>0.0326572</v>
      </c>
      <c r="M35" s="26" t="s">
        <v>7</v>
      </c>
      <c r="N35" s="14">
        <f>IF(M35="5",H35,0)</f>
        <v>0</v>
      </c>
      <c r="Y35" s="14">
        <f>IF(AC35=0,I35,0)</f>
        <v>0</v>
      </c>
      <c r="Z35" s="14">
        <f>IF(AC35=15,I35,0)</f>
        <v>0</v>
      </c>
      <c r="AA35" s="14">
        <f>IF(AC35=21,I35,0)</f>
        <v>0</v>
      </c>
      <c r="AC35" s="28">
        <v>21</v>
      </c>
      <c r="AD35" s="28">
        <f>F35*0.0166153846153846</f>
        <v>0</v>
      </c>
      <c r="AE35" s="28">
        <f>F35*(1-0.0166153846153846)</f>
        <v>0</v>
      </c>
    </row>
    <row r="36" spans="1:31" ht="25.5">
      <c r="A36" s="5" t="s">
        <v>23</v>
      </c>
      <c r="B36" s="5" t="s">
        <v>206</v>
      </c>
      <c r="C36" s="45" t="s">
        <v>207</v>
      </c>
      <c r="D36" s="5" t="s">
        <v>208</v>
      </c>
      <c r="E36" s="14">
        <v>559.9</v>
      </c>
      <c r="F36" s="14">
        <v>0</v>
      </c>
      <c r="G36" s="14">
        <f>ROUND(E36*AD36,2)</f>
        <v>0</v>
      </c>
      <c r="H36" s="14">
        <f>I36-G36</f>
        <v>0</v>
      </c>
      <c r="I36" s="14">
        <f>ROUND(E36*F36,2)</f>
        <v>0</v>
      </c>
      <c r="J36" s="14">
        <v>0.001</v>
      </c>
      <c r="K36" s="14">
        <f>E36*J36</f>
        <v>0.5599</v>
      </c>
      <c r="M36" s="26" t="s">
        <v>8</v>
      </c>
      <c r="N36" s="14">
        <f>IF(M36="5",H36,0)</f>
        <v>0</v>
      </c>
      <c r="Y36" s="14">
        <f>IF(AC36=0,I36,0)</f>
        <v>0</v>
      </c>
      <c r="Z36" s="14">
        <f>IF(AC36=15,I36,0)</f>
        <v>0</v>
      </c>
      <c r="AA36" s="14">
        <f>IF(AC36=21,I36,0)</f>
        <v>0</v>
      </c>
      <c r="AC36" s="28">
        <v>22</v>
      </c>
      <c r="AD36" s="28">
        <f>F36*0.0166153846153846</f>
        <v>0</v>
      </c>
      <c r="AE36" s="28">
        <f>F36*(1-0.0166153846153846)</f>
        <v>0</v>
      </c>
    </row>
    <row r="37" spans="1:31" ht="25.5">
      <c r="A37" s="5" t="s">
        <v>24</v>
      </c>
      <c r="B37" s="5" t="s">
        <v>209</v>
      </c>
      <c r="C37" s="45" t="s">
        <v>210</v>
      </c>
      <c r="D37" s="5" t="s">
        <v>208</v>
      </c>
      <c r="E37" s="14">
        <v>64</v>
      </c>
      <c r="F37" s="14">
        <v>0</v>
      </c>
      <c r="G37" s="14">
        <f>ROUND(E37*AD37,2)</f>
        <v>0</v>
      </c>
      <c r="H37" s="14">
        <f>I37-G37</f>
        <v>0</v>
      </c>
      <c r="I37" s="14">
        <f>ROUND(E37*F37,2)</f>
        <v>0</v>
      </c>
      <c r="J37" s="14">
        <v>0.001</v>
      </c>
      <c r="K37" s="14">
        <f>E37*J37</f>
        <v>0.064</v>
      </c>
      <c r="M37" s="26" t="s">
        <v>9</v>
      </c>
      <c r="N37" s="14">
        <f>IF(M37="5",H37,0)</f>
        <v>0</v>
      </c>
      <c r="Y37" s="14">
        <f>IF(AC37=0,I37,0)</f>
        <v>0</v>
      </c>
      <c r="Z37" s="14">
        <f>IF(AC37=15,I37,0)</f>
        <v>0</v>
      </c>
      <c r="AA37" s="14">
        <f>IF(AC37=21,I37,0)</f>
        <v>0</v>
      </c>
      <c r="AC37" s="28">
        <v>23</v>
      </c>
      <c r="AD37" s="28">
        <f>F37*0.0166153846153846</f>
        <v>0</v>
      </c>
      <c r="AE37" s="28">
        <f>F37*(1-0.0166153846153846)</f>
        <v>0</v>
      </c>
    </row>
    <row r="38" spans="1:31" ht="12.75">
      <c r="A38" s="5" t="s">
        <v>25</v>
      </c>
      <c r="B38" s="5" t="s">
        <v>211</v>
      </c>
      <c r="C38" s="45" t="s">
        <v>212</v>
      </c>
      <c r="D38" s="5" t="s">
        <v>213</v>
      </c>
      <c r="E38" s="14">
        <v>16</v>
      </c>
      <c r="F38" s="14">
        <v>0</v>
      </c>
      <c r="G38" s="14">
        <f>ROUND(E38*AD38,2)</f>
        <v>0</v>
      </c>
      <c r="H38" s="14">
        <f>I38-G38</f>
        <v>0</v>
      </c>
      <c r="I38" s="14">
        <f>ROUND(E38*F38,2)</f>
        <v>0</v>
      </c>
      <c r="J38" s="14">
        <v>0</v>
      </c>
      <c r="K38" s="14">
        <f>E38*J38</f>
        <v>0</v>
      </c>
      <c r="M38" s="26" t="s">
        <v>10</v>
      </c>
      <c r="N38" s="14">
        <f>IF(M38="5",H38,0)</f>
        <v>0</v>
      </c>
      <c r="Y38" s="14">
        <f>IF(AC38=0,I38,0)</f>
        <v>0</v>
      </c>
      <c r="Z38" s="14">
        <f>IF(AC38=15,I38,0)</f>
        <v>0</v>
      </c>
      <c r="AA38" s="14">
        <f>IF(AC38=21,I38,0)</f>
        <v>0</v>
      </c>
      <c r="AC38" s="28">
        <v>24</v>
      </c>
      <c r="AD38" s="28">
        <f>F38*0.0166153846153846</f>
        <v>0</v>
      </c>
      <c r="AE38" s="28">
        <f>F38*(1-0.0166153846153846)</f>
        <v>0</v>
      </c>
    </row>
    <row r="39" spans="1:31" ht="12.75">
      <c r="A39" s="5" t="s">
        <v>26</v>
      </c>
      <c r="B39" s="5" t="s">
        <v>214</v>
      </c>
      <c r="C39" s="45" t="s">
        <v>215</v>
      </c>
      <c r="D39" s="5" t="s">
        <v>123</v>
      </c>
      <c r="E39" s="14">
        <v>8</v>
      </c>
      <c r="F39" s="14">
        <v>0</v>
      </c>
      <c r="G39" s="14">
        <f>ROUND(E39*AD39,2)</f>
        <v>0</v>
      </c>
      <c r="H39" s="14">
        <f>I39-G39</f>
        <v>0</v>
      </c>
      <c r="I39" s="14">
        <f>ROUND(E39*F39,2)</f>
        <v>0</v>
      </c>
      <c r="J39" s="14">
        <v>0.0025</v>
      </c>
      <c r="K39" s="14">
        <f>E39*J39</f>
        <v>0.02</v>
      </c>
      <c r="M39" s="26" t="s">
        <v>11</v>
      </c>
      <c r="N39" s="14">
        <f>IF(M39="5",H39,0)</f>
        <v>0</v>
      </c>
      <c r="Y39" s="14">
        <f>IF(AC39=0,I39,0)</f>
        <v>0</v>
      </c>
      <c r="Z39" s="14">
        <f>IF(AC39=15,I39,0)</f>
        <v>0</v>
      </c>
      <c r="AA39" s="14">
        <f>IF(AC39=21,I39,0)</f>
        <v>0</v>
      </c>
      <c r="AC39" s="28">
        <v>25</v>
      </c>
      <c r="AD39" s="28">
        <f>F39*0.0166153846153846</f>
        <v>0</v>
      </c>
      <c r="AE39" s="28">
        <f>F39*(1-0.0166153846153846)</f>
        <v>0</v>
      </c>
    </row>
    <row r="40" spans="1:31" ht="12.75">
      <c r="A40" s="5" t="s">
        <v>27</v>
      </c>
      <c r="B40" s="5" t="s">
        <v>216</v>
      </c>
      <c r="C40" s="45" t="s">
        <v>217</v>
      </c>
      <c r="D40" s="5" t="s">
        <v>213</v>
      </c>
      <c r="E40" s="14">
        <v>16</v>
      </c>
      <c r="F40" s="14">
        <v>0</v>
      </c>
      <c r="G40" s="14">
        <f>ROUND(E40*AD40,2)</f>
        <v>0</v>
      </c>
      <c r="H40" s="14">
        <f>I40-G40</f>
        <v>0</v>
      </c>
      <c r="I40" s="14">
        <f>ROUND(E40*F40,2)</f>
        <v>0</v>
      </c>
      <c r="J40" s="14">
        <v>0</v>
      </c>
      <c r="K40" s="14">
        <f>E40*J40</f>
        <v>0</v>
      </c>
      <c r="M40" s="26" t="s">
        <v>12</v>
      </c>
      <c r="N40" s="14">
        <f>IF(M40="5",H40,0)</f>
        <v>0</v>
      </c>
      <c r="Y40" s="14">
        <f>IF(AC40=0,I40,0)</f>
        <v>0</v>
      </c>
      <c r="Z40" s="14">
        <f>IF(AC40=15,I40,0)</f>
        <v>0</v>
      </c>
      <c r="AA40" s="14">
        <f>IF(AC40=21,I40,0)</f>
        <v>0</v>
      </c>
      <c r="AC40" s="28">
        <v>26</v>
      </c>
      <c r="AD40" s="28">
        <f>F40*0.0166153846153846</f>
        <v>0</v>
      </c>
      <c r="AE40" s="28">
        <f>F40*(1-0.0166153846153846)</f>
        <v>0</v>
      </c>
    </row>
    <row r="41" spans="1:31" ht="12.75">
      <c r="A41" s="5" t="s">
        <v>28</v>
      </c>
      <c r="B41" s="5" t="s">
        <v>218</v>
      </c>
      <c r="C41" s="45" t="s">
        <v>219</v>
      </c>
      <c r="D41" s="5" t="s">
        <v>121</v>
      </c>
      <c r="E41" s="14">
        <v>12.6</v>
      </c>
      <c r="F41" s="14">
        <v>0</v>
      </c>
      <c r="G41" s="14">
        <f>ROUND(E41*AD41,2)</f>
        <v>0</v>
      </c>
      <c r="H41" s="14">
        <f>I41-G41</f>
        <v>0</v>
      </c>
      <c r="I41" s="14">
        <f>ROUND(E41*F41,2)</f>
        <v>0</v>
      </c>
      <c r="J41" s="14">
        <v>0</v>
      </c>
      <c r="K41" s="14">
        <f>E41*J41</f>
        <v>0</v>
      </c>
      <c r="M41" s="26" t="s">
        <v>13</v>
      </c>
      <c r="N41" s="14">
        <f>IF(M41="5",H41,0)</f>
        <v>0</v>
      </c>
      <c r="Y41" s="14">
        <f>IF(AC41=0,I41,0)</f>
        <v>0</v>
      </c>
      <c r="Z41" s="14">
        <f>IF(AC41=15,I41,0)</f>
        <v>0</v>
      </c>
      <c r="AA41" s="14">
        <f>IF(AC41=21,I41,0)</f>
        <v>0</v>
      </c>
      <c r="AC41" s="28">
        <v>27</v>
      </c>
      <c r="AD41" s="28">
        <f>F41*0.0166153846153846</f>
        <v>0</v>
      </c>
      <c r="AE41" s="28">
        <f>F41*(1-0.0166153846153846)</f>
        <v>0</v>
      </c>
    </row>
    <row r="42" spans="1:36" ht="12.75">
      <c r="A42" s="4"/>
      <c r="B42" s="12" t="s">
        <v>58</v>
      </c>
      <c r="C42" s="96" t="s">
        <v>101</v>
      </c>
      <c r="D42" s="97"/>
      <c r="E42" s="97"/>
      <c r="F42" s="97"/>
      <c r="G42" s="30">
        <f>SUM(G43:G44)</f>
        <v>0</v>
      </c>
      <c r="H42" s="30">
        <f>SUM(H43:H44)</f>
        <v>0</v>
      </c>
      <c r="I42" s="30">
        <f>G42+H42</f>
        <v>0</v>
      </c>
      <c r="J42" s="23"/>
      <c r="K42" s="30">
        <f>SUM(K43:K44)</f>
        <v>0.9048</v>
      </c>
      <c r="O42" s="30">
        <f>IF(P42="PR",I42,SUM(N43:N44))</f>
        <v>0</v>
      </c>
      <c r="P42" s="23" t="s">
        <v>144</v>
      </c>
      <c r="Q42" s="30">
        <f>IF(P42="HS",G42,0)</f>
        <v>0</v>
      </c>
      <c r="R42" s="30">
        <f>IF(P42="HS",H42-O42,0)</f>
        <v>0</v>
      </c>
      <c r="S42" s="30">
        <f>IF(P42="PS",G42,0)</f>
        <v>0</v>
      </c>
      <c r="T42" s="30">
        <f>IF(P42="PS",H42-O42,0)</f>
        <v>0</v>
      </c>
      <c r="U42" s="30">
        <f>IF(P42="MP",G42,0)</f>
        <v>0</v>
      </c>
      <c r="V42" s="30">
        <f>IF(P42="MP",H42-O42,0)</f>
        <v>0</v>
      </c>
      <c r="W42" s="30">
        <f>IF(P42="OM",G42,0)</f>
        <v>0</v>
      </c>
      <c r="X42" s="23"/>
      <c r="AH42" s="30">
        <f>SUM(Y43:Y44)</f>
        <v>0</v>
      </c>
      <c r="AI42" s="30">
        <f>SUM(Z43:Z44)</f>
        <v>0</v>
      </c>
      <c r="AJ42" s="30">
        <f>SUM(AA43:AA44)</f>
        <v>0</v>
      </c>
    </row>
    <row r="43" spans="1:31" ht="12.75">
      <c r="A43" s="5" t="s">
        <v>29</v>
      </c>
      <c r="B43" s="5" t="s">
        <v>59</v>
      </c>
      <c r="C43" s="5" t="s">
        <v>102</v>
      </c>
      <c r="D43" s="5" t="s">
        <v>122</v>
      </c>
      <c r="E43" s="14">
        <v>2</v>
      </c>
      <c r="F43" s="14">
        <v>0</v>
      </c>
      <c r="G43" s="14">
        <f>ROUND(E43*AD43,2)</f>
        <v>0</v>
      </c>
      <c r="H43" s="14">
        <f>I43-G43</f>
        <v>0</v>
      </c>
      <c r="I43" s="14">
        <f>ROUND(E43*F43,2)</f>
        <v>0</v>
      </c>
      <c r="J43" s="14">
        <v>0.069</v>
      </c>
      <c r="K43" s="14">
        <f>E43*J43</f>
        <v>0.138</v>
      </c>
      <c r="M43" s="26" t="s">
        <v>7</v>
      </c>
      <c r="N43" s="14">
        <f>IF(M43="5",H43,0)</f>
        <v>0</v>
      </c>
      <c r="Y43" s="14">
        <f>IF(AC43=0,I43,0)</f>
        <v>0</v>
      </c>
      <c r="Z43" s="14">
        <f>IF(AC43=15,I43,0)</f>
        <v>0</v>
      </c>
      <c r="AA43" s="14">
        <f>IF(AC43=21,I43,0)</f>
        <v>0</v>
      </c>
      <c r="AC43" s="28">
        <v>21</v>
      </c>
      <c r="AD43" s="28">
        <f>F43*0.13909224011713</f>
        <v>0</v>
      </c>
      <c r="AE43" s="28">
        <f>F43*(1-0.13909224011713)</f>
        <v>0</v>
      </c>
    </row>
    <row r="44" spans="1:31" ht="12.75">
      <c r="A44" s="5" t="s">
        <v>30</v>
      </c>
      <c r="B44" s="5" t="s">
        <v>60</v>
      </c>
      <c r="C44" s="5" t="s">
        <v>103</v>
      </c>
      <c r="D44" s="5" t="s">
        <v>121</v>
      </c>
      <c r="E44" s="14">
        <v>2.84</v>
      </c>
      <c r="F44" s="14">
        <v>0</v>
      </c>
      <c r="G44" s="14">
        <f>ROUND(E44*AD44,2)</f>
        <v>0</v>
      </c>
      <c r="H44" s="14">
        <f>I44-G44</f>
        <v>0</v>
      </c>
      <c r="I44" s="14">
        <f>ROUND(E44*F44,2)</f>
        <v>0</v>
      </c>
      <c r="J44" s="14">
        <v>0.27</v>
      </c>
      <c r="K44" s="14">
        <f>E44*J44</f>
        <v>0.7668</v>
      </c>
      <c r="M44" s="26" t="s">
        <v>7</v>
      </c>
      <c r="N44" s="14">
        <f>IF(M44="5",H44,0)</f>
        <v>0</v>
      </c>
      <c r="Y44" s="14">
        <f>IF(AC44=0,I44,0)</f>
        <v>0</v>
      </c>
      <c r="Z44" s="14">
        <f>IF(AC44=15,I44,0)</f>
        <v>0</v>
      </c>
      <c r="AA44" s="14">
        <f>IF(AC44=21,I44,0)</f>
        <v>0</v>
      </c>
      <c r="AC44" s="28">
        <v>21</v>
      </c>
      <c r="AD44" s="28">
        <f>F44*0.177973358705994</f>
        <v>0</v>
      </c>
      <c r="AE44" s="28">
        <f>F44*(1-0.177973358705994)</f>
        <v>0</v>
      </c>
    </row>
    <row r="45" spans="1:36" ht="12.75">
      <c r="A45" s="4"/>
      <c r="B45" s="12" t="s">
        <v>61</v>
      </c>
      <c r="C45" s="96" t="s">
        <v>104</v>
      </c>
      <c r="D45" s="97"/>
      <c r="E45" s="97"/>
      <c r="F45" s="97"/>
      <c r="G45" s="30">
        <f>SUM(G46:G46)</f>
        <v>0</v>
      </c>
      <c r="H45" s="30">
        <f>SUM(H46:H46)</f>
        <v>0</v>
      </c>
      <c r="I45" s="30">
        <f>G45+H45</f>
        <v>0</v>
      </c>
      <c r="J45" s="23"/>
      <c r="K45" s="30">
        <f>SUM(K46:K46)</f>
        <v>0</v>
      </c>
      <c r="O45" s="30">
        <f>IF(P45="PR",I45,SUM(N46:N46))</f>
        <v>0</v>
      </c>
      <c r="P45" s="23" t="s">
        <v>146</v>
      </c>
      <c r="Q45" s="30">
        <f>IF(P45="HS",G45,0)</f>
        <v>0</v>
      </c>
      <c r="R45" s="30">
        <f>IF(P45="HS",H45-O45,0)</f>
        <v>0</v>
      </c>
      <c r="S45" s="30">
        <f>IF(P45="PS",G45,0)</f>
        <v>0</v>
      </c>
      <c r="T45" s="30">
        <f>IF(P45="PS",H45-O45,0)</f>
        <v>0</v>
      </c>
      <c r="U45" s="30">
        <f>IF(P45="MP",G45,0)</f>
        <v>0</v>
      </c>
      <c r="V45" s="30">
        <f>IF(P45="MP",H45-O45,0)</f>
        <v>0</v>
      </c>
      <c r="W45" s="30">
        <f>IF(P45="OM",G45,0)</f>
        <v>0</v>
      </c>
      <c r="X45" s="23"/>
      <c r="AH45" s="30">
        <f>SUM(Y46:Y46)</f>
        <v>0</v>
      </c>
      <c r="AI45" s="30">
        <f>SUM(Z46:Z46)</f>
        <v>0</v>
      </c>
      <c r="AJ45" s="30">
        <f>SUM(AA46:AA46)</f>
        <v>0</v>
      </c>
    </row>
    <row r="46" spans="1:31" ht="12.75">
      <c r="A46" s="5" t="s">
        <v>31</v>
      </c>
      <c r="B46" s="5" t="s">
        <v>62</v>
      </c>
      <c r="C46" s="5" t="s">
        <v>105</v>
      </c>
      <c r="D46" s="5" t="s">
        <v>126</v>
      </c>
      <c r="E46" s="14">
        <v>50.53</v>
      </c>
      <c r="F46" s="14">
        <v>0</v>
      </c>
      <c r="G46" s="14">
        <f>ROUND(E46*AD46,2)</f>
        <v>0</v>
      </c>
      <c r="H46" s="14">
        <f>I46-G46</f>
        <v>0</v>
      </c>
      <c r="I46" s="14">
        <f>ROUND(E46*F46,2)</f>
        <v>0</v>
      </c>
      <c r="J46" s="14">
        <v>0</v>
      </c>
      <c r="K46" s="14">
        <f>E46*J46</f>
        <v>0</v>
      </c>
      <c r="M46" s="26" t="s">
        <v>11</v>
      </c>
      <c r="N46" s="14">
        <f>IF(M46="5",H46,0)</f>
        <v>0</v>
      </c>
      <c r="Y46" s="14">
        <f>IF(AC46=0,I46,0)</f>
        <v>0</v>
      </c>
      <c r="Z46" s="14">
        <f>IF(AC46=15,I46,0)</f>
        <v>0</v>
      </c>
      <c r="AA46" s="14">
        <f>IF(AC46=21,I46,0)</f>
        <v>0</v>
      </c>
      <c r="AC46" s="28">
        <v>21</v>
      </c>
      <c r="AD46" s="28">
        <f>F46*0</f>
        <v>0</v>
      </c>
      <c r="AE46" s="28">
        <f>F46*(1-0)</f>
        <v>0</v>
      </c>
    </row>
    <row r="47" spans="1:36" ht="12.75">
      <c r="A47" s="4"/>
      <c r="B47" s="12" t="s">
        <v>195</v>
      </c>
      <c r="C47" s="96" t="s">
        <v>197</v>
      </c>
      <c r="D47" s="97"/>
      <c r="E47" s="97"/>
      <c r="F47" s="97"/>
      <c r="G47" s="30">
        <f>SUM(G48:G48)</f>
        <v>0</v>
      </c>
      <c r="H47" s="30">
        <f>SUM(H48:H48)</f>
        <v>0</v>
      </c>
      <c r="I47" s="30">
        <f>G47+H47</f>
        <v>0</v>
      </c>
      <c r="J47" s="23"/>
      <c r="K47" s="30">
        <f>SUM(K48:K48)</f>
        <v>0</v>
      </c>
      <c r="O47" s="30">
        <f>IF(P47="PR",I47,SUM(N48:N48))</f>
        <v>0</v>
      </c>
      <c r="P47" s="23" t="s">
        <v>146</v>
      </c>
      <c r="Q47" s="30">
        <f>IF(P47="HS",G47,0)</f>
        <v>0</v>
      </c>
      <c r="R47" s="30">
        <f>IF(P47="HS",H47-O47,0)</f>
        <v>0</v>
      </c>
      <c r="S47" s="30">
        <f>IF(P47="PS",G47,0)</f>
        <v>0</v>
      </c>
      <c r="T47" s="30">
        <f>IF(P47="PS",H47-O47,0)</f>
        <v>0</v>
      </c>
      <c r="U47" s="30">
        <f>IF(P47="MP",G47,0)</f>
        <v>0</v>
      </c>
      <c r="V47" s="30">
        <f>IF(P47="MP",H47-O47,0)</f>
        <v>0</v>
      </c>
      <c r="W47" s="30">
        <f>IF(P47="OM",G47,0)</f>
        <v>0</v>
      </c>
      <c r="X47" s="23"/>
      <c r="AH47" s="30">
        <f>SUM(Y48:Y48)</f>
        <v>0</v>
      </c>
      <c r="AI47" s="30">
        <f>SUM(Z48:Z48)</f>
        <v>0</v>
      </c>
      <c r="AJ47" s="30">
        <f>SUM(AA48:AA48)</f>
        <v>0</v>
      </c>
    </row>
    <row r="48" spans="1:31" ht="12.75">
      <c r="A48" s="5" t="s">
        <v>32</v>
      </c>
      <c r="B48" s="5" t="s">
        <v>201</v>
      </c>
      <c r="C48" s="5" t="s">
        <v>202</v>
      </c>
      <c r="D48" s="5" t="s">
        <v>124</v>
      </c>
      <c r="E48" s="14">
        <v>1</v>
      </c>
      <c r="F48" s="14">
        <v>0</v>
      </c>
      <c r="G48" s="14">
        <v>0</v>
      </c>
      <c r="H48" s="14">
        <f>I48-G48</f>
        <v>0</v>
      </c>
      <c r="I48" s="14">
        <f>ROUND(E48*F48,2)</f>
        <v>0</v>
      </c>
      <c r="J48" s="14">
        <v>0</v>
      </c>
      <c r="K48" s="14">
        <f>E48*J48</f>
        <v>0</v>
      </c>
      <c r="M48" s="26" t="s">
        <v>11</v>
      </c>
      <c r="N48" s="14">
        <f>IF(M48="5",H48,0)</f>
        <v>0</v>
      </c>
      <c r="Y48" s="14">
        <f>IF(AC48=0,I48,0)</f>
        <v>0</v>
      </c>
      <c r="Z48" s="14">
        <f>IF(AC48=15,I48,0)</f>
        <v>0</v>
      </c>
      <c r="AA48" s="14">
        <f>IF(AC48=21,I48,0)</f>
        <v>0</v>
      </c>
      <c r="AC48" s="28">
        <v>21</v>
      </c>
      <c r="AD48" s="28">
        <f>F48*0</f>
        <v>0</v>
      </c>
      <c r="AE48" s="28">
        <f>F48*(1-0)</f>
        <v>0</v>
      </c>
    </row>
    <row r="49" spans="1:36" ht="12.75">
      <c r="A49" s="4"/>
      <c r="B49" s="12" t="s">
        <v>196</v>
      </c>
      <c r="C49" s="96" t="s">
        <v>198</v>
      </c>
      <c r="D49" s="97"/>
      <c r="E49" s="97"/>
      <c r="F49" s="97"/>
      <c r="G49" s="30">
        <f>SUM(G50:G50)</f>
        <v>0</v>
      </c>
      <c r="H49" s="30">
        <f>SUM(H50:H50)</f>
        <v>0</v>
      </c>
      <c r="I49" s="30">
        <f>G49+H49</f>
        <v>0</v>
      </c>
      <c r="J49" s="23"/>
      <c r="K49" s="30">
        <f>SUM(K50:K50)</f>
        <v>0</v>
      </c>
      <c r="O49" s="30">
        <f>IF(P49="PR",I49,SUM(N50:N50))</f>
        <v>0</v>
      </c>
      <c r="P49" s="23" t="s">
        <v>146</v>
      </c>
      <c r="Q49" s="30">
        <f>IF(P49="HS",G49,0)</f>
        <v>0</v>
      </c>
      <c r="R49" s="30">
        <f>IF(P49="HS",H49-O49,0)</f>
        <v>0</v>
      </c>
      <c r="S49" s="30">
        <f>IF(P49="PS",G49,0)</f>
        <v>0</v>
      </c>
      <c r="T49" s="30">
        <f>IF(P49="PS",H49-O49,0)</f>
        <v>0</v>
      </c>
      <c r="U49" s="30">
        <f>IF(P49="MP",G49,0)</f>
        <v>0</v>
      </c>
      <c r="V49" s="30">
        <f>IF(P49="MP",H49-O49,0)</f>
        <v>0</v>
      </c>
      <c r="W49" s="30">
        <f>IF(P49="OM",G49,0)</f>
        <v>0</v>
      </c>
      <c r="X49" s="23"/>
      <c r="AH49" s="30">
        <f>SUM(Y50:Y50)</f>
        <v>0</v>
      </c>
      <c r="AI49" s="30">
        <f>SUM(Z50:Z50)</f>
        <v>0</v>
      </c>
      <c r="AJ49" s="30">
        <f>SUM(AA50:AA50)</f>
        <v>0</v>
      </c>
    </row>
    <row r="50" spans="1:31" ht="12.75">
      <c r="A50" s="5" t="s">
        <v>33</v>
      </c>
      <c r="B50" s="5" t="s">
        <v>203</v>
      </c>
      <c r="C50" s="5" t="s">
        <v>204</v>
      </c>
      <c r="D50" s="5" t="s">
        <v>124</v>
      </c>
      <c r="E50" s="14">
        <v>1</v>
      </c>
      <c r="F50" s="14">
        <v>0</v>
      </c>
      <c r="G50" s="14">
        <v>0</v>
      </c>
      <c r="H50" s="14">
        <f>I50-G50</f>
        <v>0</v>
      </c>
      <c r="I50" s="14">
        <f>ROUND(E50*F50,2)</f>
        <v>0</v>
      </c>
      <c r="J50" s="14">
        <v>0</v>
      </c>
      <c r="K50" s="14">
        <f>E50*J50</f>
        <v>0</v>
      </c>
      <c r="M50" s="26" t="s">
        <v>11</v>
      </c>
      <c r="N50" s="14">
        <f>IF(M50="5",H50,0)</f>
        <v>0</v>
      </c>
      <c r="Y50" s="14">
        <f>IF(AC50=0,I50,0)</f>
        <v>0</v>
      </c>
      <c r="Z50" s="14">
        <f>IF(AC50=15,I50,0)</f>
        <v>0</v>
      </c>
      <c r="AA50" s="14">
        <f>IF(AC50=21,I50,0)</f>
        <v>0</v>
      </c>
      <c r="AC50" s="28">
        <v>21</v>
      </c>
      <c r="AD50" s="28">
        <f>F50*0</f>
        <v>0</v>
      </c>
      <c r="AE50" s="28">
        <f>F50*(1-0)</f>
        <v>0</v>
      </c>
    </row>
    <row r="51" spans="1:36" ht="12.75">
      <c r="A51" s="4"/>
      <c r="B51" s="12" t="s">
        <v>63</v>
      </c>
      <c r="C51" s="96" t="s">
        <v>106</v>
      </c>
      <c r="D51" s="97"/>
      <c r="E51" s="97"/>
      <c r="F51" s="97"/>
      <c r="G51" s="30">
        <f>SUM(G52:G60)</f>
        <v>0</v>
      </c>
      <c r="H51" s="30">
        <f>SUM(H52:H60)</f>
        <v>0</v>
      </c>
      <c r="I51" s="30">
        <f>G51+H51</f>
        <v>0</v>
      </c>
      <c r="J51" s="23"/>
      <c r="K51" s="30">
        <f>SUM(K52:K60)</f>
        <v>0</v>
      </c>
      <c r="O51" s="30">
        <f>IF(P51="PR",I51,SUM(N52:N60))</f>
        <v>0</v>
      </c>
      <c r="P51" s="23" t="s">
        <v>146</v>
      </c>
      <c r="Q51" s="30">
        <f>IF(P51="HS",G51,0)</f>
        <v>0</v>
      </c>
      <c r="R51" s="30">
        <f>IF(P51="HS",H51-O51,0)</f>
        <v>0</v>
      </c>
      <c r="S51" s="30">
        <f>IF(P51="PS",G51,0)</f>
        <v>0</v>
      </c>
      <c r="T51" s="30">
        <f>IF(P51="PS",H51-O51,0)</f>
        <v>0</v>
      </c>
      <c r="U51" s="30">
        <f>IF(P51="MP",G51,0)</f>
        <v>0</v>
      </c>
      <c r="V51" s="30">
        <f>IF(P51="MP",H51-O51,0)</f>
        <v>0</v>
      </c>
      <c r="W51" s="30">
        <f>IF(P51="OM",G51,0)</f>
        <v>0</v>
      </c>
      <c r="X51" s="23"/>
      <c r="AH51" s="30">
        <f>SUM(Y52:Y60)</f>
        <v>0</v>
      </c>
      <c r="AI51" s="30">
        <f>SUM(Z52:Z60)</f>
        <v>0</v>
      </c>
      <c r="AJ51" s="30">
        <f>SUM(AA52:AA60)</f>
        <v>0</v>
      </c>
    </row>
    <row r="52" spans="1:31" ht="12.75">
      <c r="A52" s="5" t="s">
        <v>34</v>
      </c>
      <c r="B52" s="5" t="s">
        <v>64</v>
      </c>
      <c r="C52" s="5" t="s">
        <v>107</v>
      </c>
      <c r="D52" s="5" t="s">
        <v>126</v>
      </c>
      <c r="E52" s="14">
        <v>29.109</v>
      </c>
      <c r="F52" s="14">
        <v>0</v>
      </c>
      <c r="G52" s="14">
        <f aca="true" t="shared" si="0" ref="G52:G60">ROUND(E52*AD52,2)</f>
        <v>0</v>
      </c>
      <c r="H52" s="14">
        <f aca="true" t="shared" si="1" ref="H52:H60">I52-G52</f>
        <v>0</v>
      </c>
      <c r="I52" s="14">
        <f aca="true" t="shared" si="2" ref="I52:I60">ROUND(E52*F52,2)</f>
        <v>0</v>
      </c>
      <c r="J52" s="14">
        <v>0</v>
      </c>
      <c r="K52" s="14">
        <f aca="true" t="shared" si="3" ref="K52:K60">E52*J52</f>
        <v>0</v>
      </c>
      <c r="M52" s="26" t="s">
        <v>11</v>
      </c>
      <c r="N52" s="14">
        <f aca="true" t="shared" si="4" ref="N52:N60">IF(M52="5",H52,0)</f>
        <v>0</v>
      </c>
      <c r="Y52" s="14">
        <f aca="true" t="shared" si="5" ref="Y52:Y60">IF(AC52=0,I52,0)</f>
        <v>0</v>
      </c>
      <c r="Z52" s="14">
        <f aca="true" t="shared" si="6" ref="Z52:Z60">IF(AC52=15,I52,0)</f>
        <v>0</v>
      </c>
      <c r="AA52" s="14">
        <f aca="true" t="shared" si="7" ref="AA52:AA60">IF(AC52=21,I52,0)</f>
        <v>0</v>
      </c>
      <c r="AC52" s="28">
        <v>21</v>
      </c>
      <c r="AD52" s="28">
        <f>F52*0</f>
        <v>0</v>
      </c>
      <c r="AE52" s="28">
        <f>F52*(1-0)</f>
        <v>0</v>
      </c>
    </row>
    <row r="53" spans="1:31" ht="12.75">
      <c r="A53" s="5" t="s">
        <v>199</v>
      </c>
      <c r="B53" s="5" t="s">
        <v>65</v>
      </c>
      <c r="C53" s="5" t="s">
        <v>108</v>
      </c>
      <c r="D53" s="5" t="s">
        <v>126</v>
      </c>
      <c r="E53" s="14">
        <v>58.218</v>
      </c>
      <c r="F53" s="14">
        <v>0</v>
      </c>
      <c r="G53" s="14">
        <f t="shared" si="0"/>
        <v>0</v>
      </c>
      <c r="H53" s="14">
        <f t="shared" si="1"/>
        <v>0</v>
      </c>
      <c r="I53" s="14">
        <f t="shared" si="2"/>
        <v>0</v>
      </c>
      <c r="J53" s="14">
        <v>0</v>
      </c>
      <c r="K53" s="14">
        <f t="shared" si="3"/>
        <v>0</v>
      </c>
      <c r="M53" s="26" t="s">
        <v>11</v>
      </c>
      <c r="N53" s="14">
        <f t="shared" si="4"/>
        <v>0</v>
      </c>
      <c r="Y53" s="14">
        <f t="shared" si="5"/>
        <v>0</v>
      </c>
      <c r="Z53" s="14">
        <f t="shared" si="6"/>
        <v>0</v>
      </c>
      <c r="AA53" s="14">
        <f t="shared" si="7"/>
        <v>0</v>
      </c>
      <c r="AC53" s="28">
        <v>21</v>
      </c>
      <c r="AD53" s="28">
        <f>F53*0</f>
        <v>0</v>
      </c>
      <c r="AE53" s="28">
        <f>F53*(1-0)</f>
        <v>0</v>
      </c>
    </row>
    <row r="54" spans="1:31" ht="12.75">
      <c r="A54" s="5" t="s">
        <v>200</v>
      </c>
      <c r="B54" s="5" t="s">
        <v>66</v>
      </c>
      <c r="C54" s="5" t="s">
        <v>109</v>
      </c>
      <c r="D54" s="5" t="s">
        <v>126</v>
      </c>
      <c r="E54" s="14">
        <v>29.109</v>
      </c>
      <c r="F54" s="14">
        <v>0</v>
      </c>
      <c r="G54" s="14">
        <f t="shared" si="0"/>
        <v>0</v>
      </c>
      <c r="H54" s="14">
        <f t="shared" si="1"/>
        <v>0</v>
      </c>
      <c r="I54" s="14">
        <f t="shared" si="2"/>
        <v>0</v>
      </c>
      <c r="J54" s="14">
        <v>0</v>
      </c>
      <c r="K54" s="14">
        <f t="shared" si="3"/>
        <v>0</v>
      </c>
      <c r="M54" s="26" t="s">
        <v>11</v>
      </c>
      <c r="N54" s="14">
        <f t="shared" si="4"/>
        <v>0</v>
      </c>
      <c r="Y54" s="14">
        <f t="shared" si="5"/>
        <v>0</v>
      </c>
      <c r="Z54" s="14">
        <f t="shared" si="6"/>
        <v>0</v>
      </c>
      <c r="AA54" s="14">
        <f t="shared" si="7"/>
        <v>0</v>
      </c>
      <c r="AC54" s="28">
        <v>21</v>
      </c>
      <c r="AD54" s="28">
        <f>F54*0</f>
        <v>0</v>
      </c>
      <c r="AE54" s="28">
        <f>F54*(1-0)</f>
        <v>0</v>
      </c>
    </row>
    <row r="55" spans="1:31" ht="12.75">
      <c r="A55" s="5" t="s">
        <v>220</v>
      </c>
      <c r="B55" s="5" t="s">
        <v>67</v>
      </c>
      <c r="C55" s="5" t="s">
        <v>110</v>
      </c>
      <c r="D55" s="5" t="s">
        <v>126</v>
      </c>
      <c r="E55" s="14">
        <v>174.654</v>
      </c>
      <c r="F55" s="14">
        <v>0</v>
      </c>
      <c r="G55" s="14">
        <f t="shared" si="0"/>
        <v>0</v>
      </c>
      <c r="H55" s="14">
        <f t="shared" si="1"/>
        <v>0</v>
      </c>
      <c r="I55" s="14">
        <f t="shared" si="2"/>
        <v>0</v>
      </c>
      <c r="J55" s="14">
        <v>0</v>
      </c>
      <c r="K55" s="14">
        <f t="shared" si="3"/>
        <v>0</v>
      </c>
      <c r="M55" s="26" t="s">
        <v>11</v>
      </c>
      <c r="N55" s="14">
        <f t="shared" si="4"/>
        <v>0</v>
      </c>
      <c r="Y55" s="14">
        <f t="shared" si="5"/>
        <v>0</v>
      </c>
      <c r="Z55" s="14">
        <f t="shared" si="6"/>
        <v>0</v>
      </c>
      <c r="AA55" s="14">
        <f t="shared" si="7"/>
        <v>0</v>
      </c>
      <c r="AC55" s="28">
        <v>21</v>
      </c>
      <c r="AD55" s="28">
        <f>F55*0</f>
        <v>0</v>
      </c>
      <c r="AE55" s="28">
        <f>F55*(1-0)</f>
        <v>0</v>
      </c>
    </row>
    <row r="56" spans="1:31" ht="12.75">
      <c r="A56" s="5" t="s">
        <v>221</v>
      </c>
      <c r="B56" s="5" t="s">
        <v>68</v>
      </c>
      <c r="C56" s="5" t="s">
        <v>111</v>
      </c>
      <c r="D56" s="5" t="s">
        <v>126</v>
      </c>
      <c r="E56" s="14">
        <v>29.109</v>
      </c>
      <c r="F56" s="14">
        <v>0</v>
      </c>
      <c r="G56" s="14">
        <f t="shared" si="0"/>
        <v>0</v>
      </c>
      <c r="H56" s="14">
        <f t="shared" si="1"/>
        <v>0</v>
      </c>
      <c r="I56" s="14">
        <f t="shared" si="2"/>
        <v>0</v>
      </c>
      <c r="J56" s="14">
        <v>0</v>
      </c>
      <c r="K56" s="14">
        <f t="shared" si="3"/>
        <v>0</v>
      </c>
      <c r="M56" s="26" t="s">
        <v>11</v>
      </c>
      <c r="N56" s="14">
        <f t="shared" si="4"/>
        <v>0</v>
      </c>
      <c r="Y56" s="14">
        <f t="shared" si="5"/>
        <v>0</v>
      </c>
      <c r="Z56" s="14">
        <f t="shared" si="6"/>
        <v>0</v>
      </c>
      <c r="AA56" s="14">
        <f t="shared" si="7"/>
        <v>0</v>
      </c>
      <c r="AC56" s="28">
        <v>21</v>
      </c>
      <c r="AD56" s="28">
        <f>F56*0.00822995461422088</f>
        <v>0</v>
      </c>
      <c r="AE56" s="28">
        <f>F56*(1-0.00822995461422088)</f>
        <v>0</v>
      </c>
    </row>
    <row r="57" spans="1:31" ht="12.75">
      <c r="A57" s="5" t="s">
        <v>222</v>
      </c>
      <c r="B57" s="5" t="s">
        <v>69</v>
      </c>
      <c r="C57" s="5" t="s">
        <v>112</v>
      </c>
      <c r="D57" s="5" t="s">
        <v>126</v>
      </c>
      <c r="E57" s="14">
        <v>378.417</v>
      </c>
      <c r="F57" s="14">
        <v>0</v>
      </c>
      <c r="G57" s="14">
        <f t="shared" si="0"/>
        <v>0</v>
      </c>
      <c r="H57" s="14">
        <f t="shared" si="1"/>
        <v>0</v>
      </c>
      <c r="I57" s="14">
        <f t="shared" si="2"/>
        <v>0</v>
      </c>
      <c r="J57" s="14">
        <v>0</v>
      </c>
      <c r="K57" s="14">
        <f t="shared" si="3"/>
        <v>0</v>
      </c>
      <c r="M57" s="26" t="s">
        <v>11</v>
      </c>
      <c r="N57" s="14">
        <f t="shared" si="4"/>
        <v>0</v>
      </c>
      <c r="Y57" s="14">
        <f t="shared" si="5"/>
        <v>0</v>
      </c>
      <c r="Z57" s="14">
        <f t="shared" si="6"/>
        <v>0</v>
      </c>
      <c r="AA57" s="14">
        <f t="shared" si="7"/>
        <v>0</v>
      </c>
      <c r="AC57" s="28">
        <v>21</v>
      </c>
      <c r="AD57" s="28">
        <f>F57*0</f>
        <v>0</v>
      </c>
      <c r="AE57" s="28">
        <f>F57*(1-0)</f>
        <v>0</v>
      </c>
    </row>
    <row r="58" spans="1:31" ht="12.75">
      <c r="A58" s="5" t="s">
        <v>37</v>
      </c>
      <c r="B58" s="5" t="s">
        <v>70</v>
      </c>
      <c r="C58" s="5" t="s">
        <v>113</v>
      </c>
      <c r="D58" s="5" t="s">
        <v>126</v>
      </c>
      <c r="E58" s="14">
        <v>29.109</v>
      </c>
      <c r="F58" s="14">
        <v>0</v>
      </c>
      <c r="G58" s="14">
        <f t="shared" si="0"/>
        <v>0</v>
      </c>
      <c r="H58" s="14">
        <f t="shared" si="1"/>
        <v>0</v>
      </c>
      <c r="I58" s="14">
        <f t="shared" si="2"/>
        <v>0</v>
      </c>
      <c r="J58" s="14">
        <v>0</v>
      </c>
      <c r="K58" s="14">
        <f t="shared" si="3"/>
        <v>0</v>
      </c>
      <c r="M58" s="26" t="s">
        <v>11</v>
      </c>
      <c r="N58" s="14">
        <f t="shared" si="4"/>
        <v>0</v>
      </c>
      <c r="Y58" s="14">
        <f t="shared" si="5"/>
        <v>0</v>
      </c>
      <c r="Z58" s="14">
        <f t="shared" si="6"/>
        <v>0</v>
      </c>
      <c r="AA58" s="14">
        <f t="shared" si="7"/>
        <v>0</v>
      </c>
      <c r="AC58" s="28">
        <v>21</v>
      </c>
      <c r="AD58" s="28">
        <f>F58*0</f>
        <v>0</v>
      </c>
      <c r="AE58" s="28">
        <f>F58*(1-0)</f>
        <v>0</v>
      </c>
    </row>
    <row r="59" spans="1:31" ht="12.75">
      <c r="A59" s="5" t="s">
        <v>223</v>
      </c>
      <c r="B59" s="5" t="s">
        <v>71</v>
      </c>
      <c r="C59" s="5" t="s">
        <v>114</v>
      </c>
      <c r="D59" s="5" t="s">
        <v>126</v>
      </c>
      <c r="E59" s="14">
        <v>28.204</v>
      </c>
      <c r="F59" s="14">
        <v>0</v>
      </c>
      <c r="G59" s="14">
        <f t="shared" si="0"/>
        <v>0</v>
      </c>
      <c r="H59" s="14">
        <f t="shared" si="1"/>
        <v>0</v>
      </c>
      <c r="I59" s="14">
        <f t="shared" si="2"/>
        <v>0</v>
      </c>
      <c r="J59" s="14">
        <v>0</v>
      </c>
      <c r="K59" s="14">
        <f t="shared" si="3"/>
        <v>0</v>
      </c>
      <c r="M59" s="26" t="s">
        <v>11</v>
      </c>
      <c r="N59" s="14">
        <f t="shared" si="4"/>
        <v>0</v>
      </c>
      <c r="Y59" s="14">
        <f t="shared" si="5"/>
        <v>0</v>
      </c>
      <c r="Z59" s="14">
        <f t="shared" si="6"/>
        <v>0</v>
      </c>
      <c r="AA59" s="14">
        <f t="shared" si="7"/>
        <v>0</v>
      </c>
      <c r="AC59" s="28">
        <v>21</v>
      </c>
      <c r="AD59" s="28">
        <f>F59*0</f>
        <v>0</v>
      </c>
      <c r="AE59" s="28">
        <f>F59*(1-0)</f>
        <v>0</v>
      </c>
    </row>
    <row r="60" spans="1:31" ht="12.75">
      <c r="A60" s="5" t="s">
        <v>224</v>
      </c>
      <c r="B60" s="7" t="s">
        <v>72</v>
      </c>
      <c r="C60" s="7" t="s">
        <v>115</v>
      </c>
      <c r="D60" s="7" t="s">
        <v>126</v>
      </c>
      <c r="E60" s="16">
        <v>0.905</v>
      </c>
      <c r="F60" s="16">
        <v>0</v>
      </c>
      <c r="G60" s="16">
        <f t="shared" si="0"/>
        <v>0</v>
      </c>
      <c r="H60" s="16">
        <f t="shared" si="1"/>
        <v>0</v>
      </c>
      <c r="I60" s="16">
        <f t="shared" si="2"/>
        <v>0</v>
      </c>
      <c r="J60" s="16">
        <v>0</v>
      </c>
      <c r="K60" s="16">
        <f t="shared" si="3"/>
        <v>0</v>
      </c>
      <c r="M60" s="26" t="s">
        <v>11</v>
      </c>
      <c r="N60" s="14">
        <f t="shared" si="4"/>
        <v>0</v>
      </c>
      <c r="Y60" s="14">
        <f t="shared" si="5"/>
        <v>0</v>
      </c>
      <c r="Z60" s="14">
        <f t="shared" si="6"/>
        <v>0</v>
      </c>
      <c r="AA60" s="14">
        <f t="shared" si="7"/>
        <v>0</v>
      </c>
      <c r="AC60" s="28">
        <v>21</v>
      </c>
      <c r="AD60" s="28">
        <f>F60*0</f>
        <v>0</v>
      </c>
      <c r="AE60" s="28">
        <f>F60*(1-0)</f>
        <v>0</v>
      </c>
    </row>
    <row r="61" spans="1:27" ht="12.75">
      <c r="A61" s="8"/>
      <c r="B61" s="8"/>
      <c r="C61" s="8"/>
      <c r="D61" s="8"/>
      <c r="E61" s="8"/>
      <c r="F61" s="8"/>
      <c r="G61" s="55" t="s">
        <v>132</v>
      </c>
      <c r="H61" s="56"/>
      <c r="I61" s="31">
        <f>I13+I15+I21+I23+I26+I29+I34+I42+I45+I47+I49+I51</f>
        <v>0</v>
      </c>
      <c r="J61" s="8"/>
      <c r="K61" s="8"/>
      <c r="Y61" s="32">
        <f>SUM(Y13:Y60)</f>
        <v>0</v>
      </c>
      <c r="Z61" s="32">
        <f>SUM(Z13:Z60)</f>
        <v>0</v>
      </c>
      <c r="AA61" s="32">
        <f>SUM(AA13:AA60)</f>
        <v>0</v>
      </c>
    </row>
  </sheetData>
  <sheetProtection/>
  <mergeCells count="41">
    <mergeCell ref="C51:F51"/>
    <mergeCell ref="G61:H61"/>
    <mergeCell ref="C23:F23"/>
    <mergeCell ref="C26:F26"/>
    <mergeCell ref="C29:F29"/>
    <mergeCell ref="C34:F34"/>
    <mergeCell ref="C42:F42"/>
    <mergeCell ref="C45:F45"/>
    <mergeCell ref="C47:F47"/>
    <mergeCell ref="C49:F49"/>
    <mergeCell ref="G10:I10"/>
    <mergeCell ref="J10:K10"/>
    <mergeCell ref="C12:F12"/>
    <mergeCell ref="C13:F13"/>
    <mergeCell ref="C15:F15"/>
    <mergeCell ref="C21:F21"/>
    <mergeCell ref="H2:H3"/>
    <mergeCell ref="H4:H5"/>
    <mergeCell ref="H6:H7"/>
    <mergeCell ref="H8:H9"/>
    <mergeCell ref="I2:K3"/>
    <mergeCell ref="I4:K5"/>
    <mergeCell ref="I6:K7"/>
    <mergeCell ref="I8:K9"/>
    <mergeCell ref="D4:E5"/>
    <mergeCell ref="D6:E7"/>
    <mergeCell ref="D8:E9"/>
    <mergeCell ref="F2:G3"/>
    <mergeCell ref="F4:G5"/>
    <mergeCell ref="F6:G7"/>
    <mergeCell ref="F8:G9"/>
    <mergeCell ref="A1:K1"/>
    <mergeCell ref="A2:B3"/>
    <mergeCell ref="A4:B5"/>
    <mergeCell ref="A6:B7"/>
    <mergeCell ref="A8:B9"/>
    <mergeCell ref="C2:C3"/>
    <mergeCell ref="C4:C5"/>
    <mergeCell ref="C6:C7"/>
    <mergeCell ref="C8:C9"/>
    <mergeCell ref="D2:E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</cp:lastModifiedBy>
  <cp:lastPrinted>2015-12-13T21:21:48Z</cp:lastPrinted>
  <dcterms:created xsi:type="dcterms:W3CDTF">2015-12-13T20:50:35Z</dcterms:created>
  <dcterms:modified xsi:type="dcterms:W3CDTF">2016-01-28T12:02:29Z</dcterms:modified>
  <cp:category/>
  <cp:version/>
  <cp:contentType/>
  <cp:contentStatus/>
</cp:coreProperties>
</file>